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mpra-my.sharepoint.com/personal/mstrutner_semprautilities_com/Documents/Data Requests/WMP/Cal Advocates/WMP-10/"/>
    </mc:Choice>
  </mc:AlternateContent>
  <xr:revisionPtr revIDLastSave="0" documentId="8_{4FD3823F-0DD5-4493-B4BB-FE7565902590}" xr6:coauthVersionLast="47" xr6:coauthVersionMax="47" xr10:uidLastSave="{00000000-0000-0000-0000-000000000000}"/>
  <bookViews>
    <workbookView xWindow="40680" yWindow="5415" windowWidth="22110" windowHeight="12690" xr2:uid="{BD1C3B5E-35FA-4E13-A00A-B502B8002451}"/>
  </bookViews>
  <sheets>
    <sheet name="Forecasting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94" i="1" l="1"/>
  <c r="P94" i="1"/>
  <c r="O94" i="1"/>
  <c r="N94" i="1"/>
  <c r="U94" i="1" s="1"/>
  <c r="Q93" i="1"/>
  <c r="P93" i="1"/>
  <c r="O93" i="1"/>
  <c r="N93" i="1"/>
  <c r="U93" i="1" s="1"/>
  <c r="Q92" i="1"/>
  <c r="P92" i="1"/>
  <c r="O92" i="1"/>
  <c r="N92" i="1"/>
  <c r="U92" i="1" s="1"/>
  <c r="Q91" i="1"/>
  <c r="P91" i="1"/>
  <c r="O91" i="1"/>
  <c r="N91" i="1"/>
  <c r="U91" i="1" s="1"/>
  <c r="Q90" i="1"/>
  <c r="P90" i="1"/>
  <c r="O90" i="1"/>
  <c r="N90" i="1"/>
  <c r="U90" i="1" s="1"/>
  <c r="Q89" i="1"/>
  <c r="P89" i="1"/>
  <c r="O89" i="1"/>
  <c r="N89" i="1"/>
  <c r="U89" i="1" s="1"/>
  <c r="Q88" i="1"/>
  <c r="P88" i="1"/>
  <c r="O88" i="1"/>
  <c r="N88" i="1"/>
  <c r="U88" i="1" s="1"/>
  <c r="Q87" i="1"/>
  <c r="P87" i="1"/>
  <c r="O87" i="1"/>
  <c r="N87" i="1"/>
  <c r="U87" i="1" s="1"/>
  <c r="Q86" i="1"/>
  <c r="P86" i="1"/>
  <c r="O86" i="1"/>
  <c r="N86" i="1"/>
  <c r="U86" i="1" s="1"/>
  <c r="Q85" i="1"/>
  <c r="P85" i="1"/>
  <c r="O85" i="1"/>
  <c r="N85" i="1"/>
  <c r="U85" i="1" s="1"/>
  <c r="Q84" i="1"/>
  <c r="P84" i="1"/>
  <c r="O84" i="1"/>
  <c r="N84" i="1"/>
  <c r="U84" i="1" s="1"/>
  <c r="Q83" i="1"/>
  <c r="P83" i="1"/>
  <c r="O83" i="1"/>
  <c r="N83" i="1"/>
  <c r="U83" i="1" s="1"/>
  <c r="Q82" i="1"/>
  <c r="P82" i="1"/>
  <c r="O82" i="1"/>
  <c r="N82" i="1"/>
  <c r="U82" i="1" s="1"/>
  <c r="Q81" i="1"/>
  <c r="P81" i="1"/>
  <c r="O81" i="1"/>
  <c r="N81" i="1"/>
  <c r="U81" i="1" s="1"/>
  <c r="Q80" i="1"/>
  <c r="P80" i="1"/>
  <c r="O80" i="1"/>
  <c r="N80" i="1"/>
  <c r="U80" i="1" s="1"/>
  <c r="Q79" i="1"/>
  <c r="P79" i="1"/>
  <c r="O79" i="1"/>
  <c r="N79" i="1"/>
  <c r="U79" i="1" s="1"/>
  <c r="Q78" i="1"/>
  <c r="P78" i="1"/>
  <c r="O78" i="1"/>
  <c r="N78" i="1"/>
  <c r="U78" i="1" s="1"/>
  <c r="Q77" i="1"/>
  <c r="P77" i="1"/>
  <c r="O77" i="1"/>
  <c r="N77" i="1"/>
  <c r="U77" i="1" s="1"/>
  <c r="Q76" i="1"/>
  <c r="P76" i="1"/>
  <c r="O76" i="1"/>
  <c r="N76" i="1"/>
  <c r="U76" i="1" s="1"/>
  <c r="Q75" i="1"/>
  <c r="P75" i="1"/>
  <c r="O75" i="1"/>
  <c r="N75" i="1"/>
  <c r="U75" i="1" s="1"/>
  <c r="Q74" i="1"/>
  <c r="P74" i="1"/>
  <c r="O74" i="1"/>
  <c r="N74" i="1"/>
  <c r="U74" i="1" s="1"/>
  <c r="Q73" i="1"/>
  <c r="P73" i="1"/>
  <c r="O73" i="1"/>
  <c r="N73" i="1"/>
  <c r="U73" i="1" s="1"/>
  <c r="Q72" i="1"/>
  <c r="P72" i="1"/>
  <c r="O72" i="1"/>
  <c r="N72" i="1"/>
  <c r="U72" i="1" s="1"/>
  <c r="Q71" i="1"/>
  <c r="P71" i="1"/>
  <c r="O71" i="1"/>
  <c r="N71" i="1"/>
  <c r="U71" i="1" s="1"/>
  <c r="Q70" i="1"/>
  <c r="P70" i="1"/>
  <c r="O70" i="1"/>
  <c r="N70" i="1"/>
  <c r="U70" i="1" s="1"/>
  <c r="Q69" i="1"/>
  <c r="P69" i="1"/>
  <c r="O69" i="1"/>
  <c r="N69" i="1"/>
  <c r="U69" i="1" s="1"/>
  <c r="Q68" i="1"/>
  <c r="P68" i="1"/>
  <c r="O68" i="1"/>
  <c r="N68" i="1"/>
  <c r="U68" i="1" s="1"/>
  <c r="Q67" i="1"/>
  <c r="P67" i="1"/>
  <c r="O67" i="1"/>
  <c r="N67" i="1"/>
  <c r="U67" i="1" s="1"/>
  <c r="Q66" i="1"/>
  <c r="P66" i="1"/>
  <c r="O66" i="1"/>
  <c r="N66" i="1"/>
  <c r="U66" i="1" s="1"/>
  <c r="U65" i="1"/>
  <c r="T65" i="1"/>
  <c r="S65" i="1"/>
  <c r="R65" i="1"/>
  <c r="Q65" i="1"/>
  <c r="P65" i="1"/>
  <c r="O65" i="1"/>
  <c r="N65" i="1"/>
  <c r="Q20" i="1" s="1"/>
  <c r="Q64" i="1"/>
  <c r="P64" i="1"/>
  <c r="O64" i="1"/>
  <c r="N64" i="1"/>
  <c r="U64" i="1" s="1"/>
  <c r="Q63" i="1"/>
  <c r="P63" i="1"/>
  <c r="O63" i="1"/>
  <c r="N63" i="1"/>
  <c r="U63" i="1" s="1"/>
  <c r="Q62" i="1"/>
  <c r="P62" i="1"/>
  <c r="O62" i="1"/>
  <c r="N62" i="1"/>
  <c r="U62" i="1" s="1"/>
  <c r="Q61" i="1"/>
  <c r="P61" i="1"/>
  <c r="O61" i="1"/>
  <c r="N61" i="1"/>
  <c r="U61" i="1" s="1"/>
  <c r="Q60" i="1"/>
  <c r="P60" i="1"/>
  <c r="O60" i="1"/>
  <c r="N60" i="1"/>
  <c r="U60" i="1" s="1"/>
  <c r="Q59" i="1"/>
  <c r="P59" i="1"/>
  <c r="O59" i="1"/>
  <c r="N59" i="1"/>
  <c r="U59" i="1" s="1"/>
  <c r="Q58" i="1"/>
  <c r="P58" i="1"/>
  <c r="O58" i="1"/>
  <c r="N58" i="1"/>
  <c r="U58" i="1" s="1"/>
  <c r="Q57" i="1"/>
  <c r="P57" i="1"/>
  <c r="O57" i="1"/>
  <c r="N57" i="1"/>
  <c r="U57" i="1" s="1"/>
  <c r="Q56" i="1"/>
  <c r="P56" i="1"/>
  <c r="O56" i="1"/>
  <c r="N56" i="1"/>
  <c r="U56" i="1" s="1"/>
  <c r="Q55" i="1"/>
  <c r="P55" i="1"/>
  <c r="O55" i="1"/>
  <c r="N55" i="1"/>
  <c r="U55" i="1" s="1"/>
  <c r="T54" i="1"/>
  <c r="S54" i="1"/>
  <c r="Q54" i="1"/>
  <c r="U54" i="1" s="1"/>
  <c r="P54" i="1"/>
  <c r="O54" i="1"/>
  <c r="N54" i="1"/>
  <c r="R54" i="1" s="1"/>
  <c r="S53" i="1"/>
  <c r="Q53" i="1"/>
  <c r="U53" i="1" s="1"/>
  <c r="P53" i="1"/>
  <c r="T53" i="1" s="1"/>
  <c r="O53" i="1"/>
  <c r="N53" i="1"/>
  <c r="R53" i="1" s="1"/>
  <c r="Q52" i="1"/>
  <c r="P52" i="1"/>
  <c r="O52" i="1"/>
  <c r="N52" i="1"/>
  <c r="U52" i="1" s="1"/>
  <c r="Q51" i="1"/>
  <c r="P51" i="1"/>
  <c r="O51" i="1"/>
  <c r="N51" i="1"/>
  <c r="U51" i="1" s="1"/>
  <c r="Q50" i="1"/>
  <c r="P50" i="1"/>
  <c r="O50" i="1"/>
  <c r="N50" i="1"/>
  <c r="U50" i="1" s="1"/>
  <c r="Q49" i="1"/>
  <c r="P49" i="1"/>
  <c r="O49" i="1"/>
  <c r="N49" i="1"/>
  <c r="U49" i="1" s="1"/>
  <c r="Q48" i="1"/>
  <c r="P48" i="1"/>
  <c r="O48" i="1"/>
  <c r="N48" i="1"/>
  <c r="U48" i="1" s="1"/>
  <c r="Q47" i="1"/>
  <c r="P47" i="1"/>
  <c r="O47" i="1"/>
  <c r="N47" i="1"/>
  <c r="U47" i="1" s="1"/>
  <c r="Q46" i="1"/>
  <c r="P46" i="1"/>
  <c r="O46" i="1"/>
  <c r="N46" i="1"/>
  <c r="U46" i="1" s="1"/>
  <c r="Q45" i="1"/>
  <c r="P45" i="1"/>
  <c r="O45" i="1"/>
  <c r="N45" i="1"/>
  <c r="U45" i="1" s="1"/>
  <c r="Q44" i="1"/>
  <c r="P44" i="1"/>
  <c r="O44" i="1"/>
  <c r="N44" i="1"/>
  <c r="U44" i="1" s="1"/>
  <c r="Q43" i="1"/>
  <c r="P43" i="1"/>
  <c r="O43" i="1"/>
  <c r="N43" i="1"/>
  <c r="U43" i="1" s="1"/>
  <c r="N23" i="1"/>
  <c r="N21" i="1"/>
  <c r="N20" i="1"/>
  <c r="U20" i="1" s="1"/>
  <c r="N14" i="1"/>
  <c r="N13" i="1"/>
  <c r="U13" i="1" s="1"/>
  <c r="N12" i="1"/>
  <c r="N9" i="1"/>
  <c r="N7" i="1"/>
  <c r="N5" i="1"/>
  <c r="N30" i="1" l="1"/>
  <c r="N6" i="1"/>
  <c r="N17" i="1"/>
  <c r="N36" i="1"/>
  <c r="N18" i="1"/>
  <c r="N10" i="1"/>
  <c r="R10" i="1" s="1"/>
  <c r="N22" i="1"/>
  <c r="S22" i="1" s="1"/>
  <c r="N8" i="1"/>
  <c r="S8" i="1" s="1"/>
  <c r="N19" i="1"/>
  <c r="O5" i="1"/>
  <c r="O6" i="1"/>
  <c r="O7" i="1"/>
  <c r="O8" i="1"/>
  <c r="O9" i="1"/>
  <c r="O10" i="1"/>
  <c r="O12" i="1"/>
  <c r="O13" i="1"/>
  <c r="O14" i="1"/>
  <c r="O17" i="1"/>
  <c r="O18" i="1"/>
  <c r="O19" i="1"/>
  <c r="O20" i="1"/>
  <c r="O21" i="1"/>
  <c r="O22" i="1"/>
  <c r="O23" i="1"/>
  <c r="O30" i="1"/>
  <c r="O36" i="1"/>
  <c r="P5" i="1"/>
  <c r="P6" i="1"/>
  <c r="P7" i="1"/>
  <c r="P8" i="1"/>
  <c r="P9" i="1"/>
  <c r="P10" i="1"/>
  <c r="P12" i="1"/>
  <c r="P13" i="1"/>
  <c r="P14" i="1"/>
  <c r="P17" i="1"/>
  <c r="P18" i="1"/>
  <c r="P19" i="1"/>
  <c r="P20" i="1"/>
  <c r="P21" i="1"/>
  <c r="P22" i="1"/>
  <c r="P23" i="1"/>
  <c r="P30" i="1"/>
  <c r="P36" i="1"/>
  <c r="Q5" i="1"/>
  <c r="Q6" i="1"/>
  <c r="Q7" i="1"/>
  <c r="Q8" i="1"/>
  <c r="Q9" i="1"/>
  <c r="Q10" i="1"/>
  <c r="Q12" i="1"/>
  <c r="Q13" i="1"/>
  <c r="Q14" i="1"/>
  <c r="Q17" i="1"/>
  <c r="Q18" i="1"/>
  <c r="Q19" i="1"/>
  <c r="Q21" i="1"/>
  <c r="Q22" i="1"/>
  <c r="Q23" i="1"/>
  <c r="Q30" i="1"/>
  <c r="Q36" i="1"/>
  <c r="R13" i="1"/>
  <c r="R20" i="1"/>
  <c r="R30" i="1"/>
  <c r="R43" i="1"/>
  <c r="R5" i="1" s="1"/>
  <c r="R44" i="1"/>
  <c r="U6" i="1" s="1"/>
  <c r="R45" i="1"/>
  <c r="U7" i="1" s="1"/>
  <c r="R46" i="1"/>
  <c r="R47" i="1"/>
  <c r="R9" i="1" s="1"/>
  <c r="R48" i="1"/>
  <c r="R49" i="1"/>
  <c r="R50" i="1"/>
  <c r="R51" i="1"/>
  <c r="R14" i="1" s="1"/>
  <c r="R52" i="1"/>
  <c r="R55" i="1"/>
  <c r="U12" i="1" s="1"/>
  <c r="R56" i="1"/>
  <c r="R57" i="1"/>
  <c r="R58" i="1"/>
  <c r="R59" i="1"/>
  <c r="R60" i="1"/>
  <c r="U10" i="1" s="1"/>
  <c r="R61" i="1"/>
  <c r="R62" i="1"/>
  <c r="S17" i="1" s="1"/>
  <c r="R63" i="1"/>
  <c r="R64" i="1"/>
  <c r="T19" i="1" s="1"/>
  <c r="R66" i="1"/>
  <c r="U21" i="1" s="1"/>
  <c r="R67" i="1"/>
  <c r="R68" i="1"/>
  <c r="R23" i="1" s="1"/>
  <c r="R69" i="1"/>
  <c r="R70" i="1"/>
  <c r="R71" i="1"/>
  <c r="R72" i="1"/>
  <c r="R73" i="1"/>
  <c r="R74" i="1"/>
  <c r="R75" i="1"/>
  <c r="R76" i="1"/>
  <c r="R77" i="1"/>
  <c r="R78" i="1"/>
  <c r="R79" i="1"/>
  <c r="S36" i="1" s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S5" i="1"/>
  <c r="S7" i="1"/>
  <c r="S12" i="1"/>
  <c r="S13" i="1"/>
  <c r="S18" i="1"/>
  <c r="S19" i="1"/>
  <c r="S20" i="1"/>
  <c r="S30" i="1"/>
  <c r="S43" i="1"/>
  <c r="S44" i="1"/>
  <c r="S45" i="1"/>
  <c r="S46" i="1"/>
  <c r="S47" i="1"/>
  <c r="S48" i="1"/>
  <c r="S49" i="1"/>
  <c r="S50" i="1"/>
  <c r="S51" i="1"/>
  <c r="S52" i="1"/>
  <c r="S55" i="1"/>
  <c r="S56" i="1"/>
  <c r="S57" i="1"/>
  <c r="S58" i="1"/>
  <c r="S59" i="1"/>
  <c r="S60" i="1"/>
  <c r="S61" i="1"/>
  <c r="S62" i="1"/>
  <c r="S63" i="1"/>
  <c r="S64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T10" i="1"/>
  <c r="T12" i="1"/>
  <c r="T13" i="1"/>
  <c r="T20" i="1"/>
  <c r="T30" i="1"/>
  <c r="T43" i="1"/>
  <c r="T44" i="1"/>
  <c r="T45" i="1"/>
  <c r="T46" i="1"/>
  <c r="T47" i="1"/>
  <c r="T48" i="1"/>
  <c r="T49" i="1"/>
  <c r="T50" i="1"/>
  <c r="T51" i="1"/>
  <c r="T52" i="1"/>
  <c r="T55" i="1"/>
  <c r="T56" i="1"/>
  <c r="T57" i="1"/>
  <c r="T58" i="1"/>
  <c r="T59" i="1"/>
  <c r="T60" i="1"/>
  <c r="T61" i="1"/>
  <c r="T62" i="1"/>
  <c r="T63" i="1"/>
  <c r="T64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U30" i="1"/>
  <c r="R22" i="1" l="1"/>
  <c r="T23" i="1"/>
  <c r="U22" i="1"/>
  <c r="T22" i="1"/>
  <c r="U14" i="1"/>
  <c r="S23" i="1"/>
  <c r="U8" i="1"/>
  <c r="R12" i="1"/>
  <c r="U23" i="1"/>
  <c r="T5" i="1"/>
  <c r="S14" i="1"/>
  <c r="T14" i="1"/>
  <c r="T36" i="1"/>
  <c r="U18" i="1"/>
  <c r="T21" i="1"/>
  <c r="R19" i="1"/>
  <c r="R8" i="1"/>
  <c r="T9" i="1"/>
  <c r="R18" i="1"/>
  <c r="R7" i="1"/>
  <c r="U19" i="1"/>
  <c r="U5" i="1"/>
  <c r="T8" i="1"/>
  <c r="R36" i="1"/>
  <c r="R17" i="1"/>
  <c r="R6" i="1"/>
  <c r="T18" i="1"/>
  <c r="T7" i="1"/>
  <c r="S21" i="1"/>
  <c r="S10" i="1"/>
  <c r="T17" i="1"/>
  <c r="T6" i="1"/>
  <c r="S9" i="1"/>
  <c r="U36" i="1"/>
  <c r="U9" i="1"/>
  <c r="R21" i="1"/>
  <c r="U17" i="1"/>
  <c r="S6" i="1"/>
</calcChain>
</file>

<file path=xl/sharedStrings.xml><?xml version="1.0" encoding="utf-8"?>
<sst xmlns="http://schemas.openxmlformats.org/spreadsheetml/2006/main" count="485" uniqueCount="214">
  <si>
    <t>Number of risk events</t>
  </si>
  <si>
    <t>Actual</t>
  </si>
  <si>
    <t>Projected risk events</t>
  </si>
  <si>
    <t>Table 7.1: Key recent and projected drivers of risk events</t>
  </si>
  <si>
    <t>Risk Event category</t>
  </si>
  <si>
    <t>Cause category</t>
  </si>
  <si>
    <t>#</t>
  </si>
  <si>
    <t>Sub-cause category</t>
  </si>
  <si>
    <t>5-yr avg 2017-2021</t>
  </si>
  <si>
    <t>Unit(s)</t>
  </si>
  <si>
    <t>Mitigations that affect driver rows for forecasting</t>
  </si>
  <si>
    <t>x</t>
  </si>
  <si>
    <t>Wire down event - Distribution</t>
  </si>
  <si>
    <t>1. Contact from object - Distribution</t>
  </si>
  <si>
    <t>1.a.</t>
  </si>
  <si>
    <t>Veg. contact- Distribution</t>
  </si>
  <si>
    <t># risk events (excluding ignitions)</t>
  </si>
  <si>
    <t>UG, CC, OH Hard, Enh Veg Mgmt</t>
  </si>
  <si>
    <t>1.b.</t>
  </si>
  <si>
    <t>Animal contact- Distribution</t>
  </si>
  <si>
    <t>UG, CC, OH Hard</t>
  </si>
  <si>
    <t>1.c.</t>
  </si>
  <si>
    <t>Balloon contact- Distribution</t>
  </si>
  <si>
    <t>UG, CC</t>
  </si>
  <si>
    <t>1.d.</t>
  </si>
  <si>
    <t>Vehicle contact- Distribution</t>
  </si>
  <si>
    <t>UG</t>
  </si>
  <si>
    <t>1.e.</t>
  </si>
  <si>
    <t>Other contact from object - Distribution</t>
  </si>
  <si>
    <t>2. Equipment / facility failure - Distribution</t>
  </si>
  <si>
    <t>2.a.</t>
  </si>
  <si>
    <t>Connector damage or failure- Distribution</t>
  </si>
  <si>
    <r>
      <t xml:space="preserve">UG, CC, OH Hard, </t>
    </r>
    <r>
      <rPr>
        <sz val="11"/>
        <color theme="1"/>
        <rFont val="Calibri"/>
        <family val="2"/>
        <scheme val="minor"/>
      </rPr>
      <t>Hotline Clamps, Dist IR</t>
    </r>
  </si>
  <si>
    <t>2.b.</t>
  </si>
  <si>
    <t>Splice damage or failure — Distribution</t>
  </si>
  <si>
    <t>UG, Dist IR</t>
  </si>
  <si>
    <t>2.c.</t>
  </si>
  <si>
    <t>Crossarm damage or failure - Distribution</t>
  </si>
  <si>
    <t>UG, CC, OH Hard, Drone</t>
  </si>
  <si>
    <t>2.d.</t>
  </si>
  <si>
    <t>Insulator damage or failure- Distribution</t>
  </si>
  <si>
    <t>2.e.</t>
  </si>
  <si>
    <t>Lightning arrestor damage or failure- Distribution</t>
  </si>
  <si>
    <t>2.f.</t>
  </si>
  <si>
    <t>Tap damage or failure - Distribution</t>
  </si>
  <si>
    <r>
      <t xml:space="preserve">UG, CC, OH Hard, Drone, </t>
    </r>
    <r>
      <rPr>
        <sz val="11"/>
        <color theme="1"/>
        <rFont val="Calibri"/>
        <family val="2"/>
        <scheme val="minor"/>
      </rPr>
      <t>Dist IR</t>
    </r>
  </si>
  <si>
    <t>2.g.</t>
  </si>
  <si>
    <t>Tie wire damage or failure - Distribution</t>
  </si>
  <si>
    <t>2.h.</t>
  </si>
  <si>
    <t>Other - Distribution</t>
  </si>
  <si>
    <t>3. Wire-to-wire contact - Distribution</t>
  </si>
  <si>
    <t>3.a.</t>
  </si>
  <si>
    <t>Wire-to-wire contact / contamination- Distribution</t>
  </si>
  <si>
    <t>4. Contamination - Distribution</t>
  </si>
  <si>
    <t>4.a.</t>
  </si>
  <si>
    <t>Contamination - Distribution</t>
  </si>
  <si>
    <t>UG, CC,</t>
  </si>
  <si>
    <t>5. Utility work / Operation</t>
  </si>
  <si>
    <t>5.a.</t>
  </si>
  <si>
    <t>Utility work / Operation</t>
  </si>
  <si>
    <t>no mitigation</t>
  </si>
  <si>
    <t>6. Vandalism / Theft - Distribution</t>
  </si>
  <si>
    <t>6.a.</t>
  </si>
  <si>
    <t>Vandalism / Theft - Distribution</t>
  </si>
  <si>
    <t>7. Other- Distribution</t>
  </si>
  <si>
    <t>7.a.</t>
  </si>
  <si>
    <t>All Other- Distribution</t>
  </si>
  <si>
    <t>8. Unknown- Distribution</t>
  </si>
  <si>
    <t>8.a.</t>
  </si>
  <si>
    <t>Unknown - Distribution</t>
  </si>
  <si>
    <t>Wire down event - Transmission</t>
  </si>
  <si>
    <t>9. Contact from object - Transmission</t>
  </si>
  <si>
    <t>9.a.</t>
  </si>
  <si>
    <t>Veg. contact- Transmission</t>
  </si>
  <si>
    <t>OH Trans</t>
  </si>
  <si>
    <t>9.b.</t>
  </si>
  <si>
    <t>Animal contact- Transmission</t>
  </si>
  <si>
    <t>9.c.</t>
  </si>
  <si>
    <t>Balloon contact- Transmission</t>
  </si>
  <si>
    <t>9.d.</t>
  </si>
  <si>
    <t>Vehicle contact- Transmission</t>
  </si>
  <si>
    <t>9.e.</t>
  </si>
  <si>
    <t>Other contact from object - Transmission</t>
  </si>
  <si>
    <t>10. Equipment / facility failure - Transmission</t>
  </si>
  <si>
    <t>10.a.</t>
  </si>
  <si>
    <t>Connector damage or failure- Transmission</t>
  </si>
  <si>
    <t>10.b.</t>
  </si>
  <si>
    <t>Splice damage or failure — Transmission</t>
  </si>
  <si>
    <t>10.c.</t>
  </si>
  <si>
    <t>Crossarm damage or failure - Transmission</t>
  </si>
  <si>
    <t>10.d.</t>
  </si>
  <si>
    <t>Insulator damage or failure- Transmission</t>
  </si>
  <si>
    <t>10.e.</t>
  </si>
  <si>
    <t>Lightning arrestor damage or failure- Transmission</t>
  </si>
  <si>
    <t>10.f.</t>
  </si>
  <si>
    <t>Tap damage or failure - Transmission</t>
  </si>
  <si>
    <t>10.g.</t>
  </si>
  <si>
    <t>Tie wire damage or failure - Transmission</t>
  </si>
  <si>
    <t>10.h.</t>
  </si>
  <si>
    <t>Other - Transmission</t>
  </si>
  <si>
    <t>11. Wire-to-wire contact - Transmission</t>
  </si>
  <si>
    <t>11.a.</t>
  </si>
  <si>
    <t>Wire-to-wire contact / contamination- Transmission</t>
  </si>
  <si>
    <t>12. Contamination - Transmission</t>
  </si>
  <si>
    <t>12.a.</t>
  </si>
  <si>
    <t>Contamination - Transmission</t>
  </si>
  <si>
    <t>13. Utility work / Operation</t>
  </si>
  <si>
    <t>13.a.</t>
  </si>
  <si>
    <t>14. Vandalism / Theft - Transmission</t>
  </si>
  <si>
    <t>14.a.</t>
  </si>
  <si>
    <t>Vandalism / Theft - Transmission</t>
  </si>
  <si>
    <t>15. Other- Transmission</t>
  </si>
  <si>
    <t>15.a.</t>
  </si>
  <si>
    <t>All Other- Transmission</t>
  </si>
  <si>
    <t>16. Unknown- Transmission</t>
  </si>
  <si>
    <t>16.a.</t>
  </si>
  <si>
    <t>Unknown - Transmission</t>
  </si>
  <si>
    <t>Outage - Distribution</t>
  </si>
  <si>
    <t>17. Contact from object - Distribution</t>
  </si>
  <si>
    <t>17.a.</t>
  </si>
  <si>
    <t>17.b.</t>
  </si>
  <si>
    <t>17.c.</t>
  </si>
  <si>
    <t>17.d.</t>
  </si>
  <si>
    <t>17.e.</t>
  </si>
  <si>
    <t>18. Equipment / facility failure - Distribution</t>
  </si>
  <si>
    <t>18.a.</t>
  </si>
  <si>
    <t>Capacitor bank damage or failure- Distribution</t>
  </si>
  <si>
    <t xml:space="preserve">UG, OH Hard, CC, Drone, </t>
  </si>
  <si>
    <t>18.b.</t>
  </si>
  <si>
    <t>Conductor damage or failure — Distribution</t>
  </si>
  <si>
    <t>18.c.</t>
  </si>
  <si>
    <t>Fuse damage or failure - Distribution</t>
  </si>
  <si>
    <t>18.d.</t>
  </si>
  <si>
    <t>18.e.</t>
  </si>
  <si>
    <t>Switch damage or failure- Distribution</t>
  </si>
  <si>
    <t>18.f.</t>
  </si>
  <si>
    <t>Pole damage or failure - Distribution</t>
  </si>
  <si>
    <t>18.g.</t>
  </si>
  <si>
    <t>Insulator and brushing damage or failure - Distribution</t>
  </si>
  <si>
    <t>18.h.</t>
  </si>
  <si>
    <t>18.i.</t>
  </si>
  <si>
    <t>Voltage regulator / booster damage or failure - Distribution</t>
  </si>
  <si>
    <t>18.j.</t>
  </si>
  <si>
    <t>Recloser damage or failure - Distribution</t>
  </si>
  <si>
    <t>18.k.</t>
  </si>
  <si>
    <t>Anchor / guy damage or failure - Distribution</t>
  </si>
  <si>
    <t>18.l.</t>
  </si>
  <si>
    <t>Sectionalizer damage or failure - Distribution</t>
  </si>
  <si>
    <t>18.m.</t>
  </si>
  <si>
    <t>Connection device damage or failure - Distribution</t>
  </si>
  <si>
    <r>
      <t>UG, OH Hard, CC, Drone, H</t>
    </r>
    <r>
      <rPr>
        <sz val="11"/>
        <color theme="1"/>
        <rFont val="Calibri"/>
        <family val="2"/>
        <scheme val="minor"/>
      </rPr>
      <t>otline Clamps, Dist IR</t>
    </r>
  </si>
  <si>
    <t>18.n.</t>
  </si>
  <si>
    <t>Transformer damage or failure - Distribution</t>
  </si>
  <si>
    <t>18.o.</t>
  </si>
  <si>
    <t>19. Wire-to-wire contact - Distribution</t>
  </si>
  <si>
    <t>19.a.</t>
  </si>
  <si>
    <t>UG, OH Hard, CC,</t>
  </si>
  <si>
    <t>20. Contamination - Distribution</t>
  </si>
  <si>
    <t>20.a.</t>
  </si>
  <si>
    <t>21. Utility work / Operation</t>
  </si>
  <si>
    <t>21.a.</t>
  </si>
  <si>
    <t>22. Vandalism / Theft - Distribution</t>
  </si>
  <si>
    <t>22.a.</t>
  </si>
  <si>
    <t>23. Other- Distribution</t>
  </si>
  <si>
    <t>23.a.</t>
  </si>
  <si>
    <t>24. Unknown- Distribution</t>
  </si>
  <si>
    <t>24.a.</t>
  </si>
  <si>
    <t>Outage - Transmission</t>
  </si>
  <si>
    <t>25. Contact from object - Transmission</t>
  </si>
  <si>
    <t>25.a.</t>
  </si>
  <si>
    <t>25.b.</t>
  </si>
  <si>
    <t>25.c.</t>
  </si>
  <si>
    <t>25.d.</t>
  </si>
  <si>
    <t>25.e.</t>
  </si>
  <si>
    <t>26. Equipment / facility failure - Transmission</t>
  </si>
  <si>
    <t>26.a.</t>
  </si>
  <si>
    <t>Capacitor bank damage or failure- Transmission</t>
  </si>
  <si>
    <t>26.b.</t>
  </si>
  <si>
    <t>Conductor damage or failure — Transmission</t>
  </si>
  <si>
    <t>26.c.</t>
  </si>
  <si>
    <t>Fuse damage or failure - Transmission</t>
  </si>
  <si>
    <t>26.d.</t>
  </si>
  <si>
    <t>26.e.</t>
  </si>
  <si>
    <t>Switch damage or failure- Transmission</t>
  </si>
  <si>
    <t>26.f.</t>
  </si>
  <si>
    <t>Pole damage or failure - Transmission</t>
  </si>
  <si>
    <t>26.g.</t>
  </si>
  <si>
    <t>Insulator and brushing damage or failure - Transmission</t>
  </si>
  <si>
    <t>26.h.</t>
  </si>
  <si>
    <t>26.i.</t>
  </si>
  <si>
    <t>Voltage regulator / booster damage or failure - Transmission</t>
  </si>
  <si>
    <t>26.j.</t>
  </si>
  <si>
    <t>Recloser damage or failure - Transmission</t>
  </si>
  <si>
    <t>26.k.</t>
  </si>
  <si>
    <t>Anchor / guy damage or failure - Transmission</t>
  </si>
  <si>
    <t>26.l.</t>
  </si>
  <si>
    <t>Sectionalizer damage or failure - Transmission</t>
  </si>
  <si>
    <t>26.m.</t>
  </si>
  <si>
    <t>Connection device damage or failure - Transmission</t>
  </si>
  <si>
    <t>26.n.</t>
  </si>
  <si>
    <t>Transformer damage or failure - Transmission</t>
  </si>
  <si>
    <t>26.o.</t>
  </si>
  <si>
    <t>27. Wire-to-wire contact - Transmission</t>
  </si>
  <si>
    <t>27.a.</t>
  </si>
  <si>
    <t>28. Contamination - Transmission</t>
  </si>
  <si>
    <t>28.a.</t>
  </si>
  <si>
    <t>29. Utility work / Operation</t>
  </si>
  <si>
    <t>29.a.</t>
  </si>
  <si>
    <t>30. Vandalism / Theft - Transmission</t>
  </si>
  <si>
    <t>30.a.</t>
  </si>
  <si>
    <t>31. Other- Transmission</t>
  </si>
  <si>
    <t>31.a.</t>
  </si>
  <si>
    <t>32. Unknown- Transmission</t>
  </si>
  <si>
    <t>32.a.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</si>
</sst>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Q0"/>
    <numFmt numFmtId="165" formatCode="0.000"/>
    <numFmt numFmtId="166" formatCode="0.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444444"/>
      <name val="Calibri"/>
      <family val="2"/>
      <charset val="1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0" xfId="0" applyFill="1"/>
    <xf numFmtId="0" fontId="0" fillId="0" borderId="0" xfId="0" applyAlignment="1">
      <alignment vertical="top"/>
    </xf>
    <xf numFmtId="0" fontId="0" fillId="3" borderId="0" xfId="0" applyFill="1" applyAlignment="1">
      <alignment horizontal="left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left"/>
    </xf>
    <xf numFmtId="0" fontId="0" fillId="5" borderId="0" xfId="0" applyFill="1" applyAlignment="1">
      <alignment horizontal="center"/>
    </xf>
    <xf numFmtId="0" fontId="0" fillId="2" borderId="0" xfId="0" applyFill="1" applyAlignment="1">
      <alignment wrapText="1"/>
    </xf>
    <xf numFmtId="0" fontId="3" fillId="2" borderId="0" xfId="0" applyFont="1" applyFill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2" borderId="0" xfId="0" applyFill="1" applyAlignment="1">
      <alignment horizontal="center" vertical="top"/>
    </xf>
    <xf numFmtId="164" fontId="0" fillId="2" borderId="0" xfId="0" applyNumberFormat="1" applyFill="1" applyAlignment="1">
      <alignment horizontal="center" vertical="top"/>
    </xf>
    <xf numFmtId="164" fontId="0" fillId="5" borderId="0" xfId="0" applyNumberFormat="1" applyFill="1" applyAlignment="1">
      <alignment horizontal="center" vertical="top"/>
    </xf>
    <xf numFmtId="164" fontId="0" fillId="2" borderId="0" xfId="0" applyNumberFormat="1" applyFill="1" applyAlignment="1">
      <alignment horizontal="left" vertical="top" wrapText="1"/>
    </xf>
    <xf numFmtId="0" fontId="2" fillId="2" borderId="1" xfId="0" applyFont="1" applyFill="1" applyBorder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2" borderId="0" xfId="0" applyFont="1" applyFill="1" applyAlignment="1">
      <alignment horizontal="center" vertical="top"/>
    </xf>
    <xf numFmtId="0" fontId="4" fillId="0" borderId="0" xfId="0" applyFont="1"/>
    <xf numFmtId="0" fontId="2" fillId="5" borderId="0" xfId="0" applyFont="1" applyFill="1" applyAlignment="1">
      <alignment horizontal="center" vertical="top"/>
    </xf>
    <xf numFmtId="0" fontId="2" fillId="2" borderId="0" xfId="0" applyFont="1" applyFill="1" applyAlignment="1">
      <alignment horizontal="left" vertical="top" wrapText="1"/>
    </xf>
    <xf numFmtId="0" fontId="0" fillId="6" borderId="2" xfId="0" applyFill="1" applyBorder="1"/>
    <xf numFmtId="0" fontId="0" fillId="2" borderId="3" xfId="0" applyFill="1" applyBorder="1" applyAlignment="1">
      <alignment vertical="top"/>
    </xf>
    <xf numFmtId="0" fontId="0" fillId="2" borderId="3" xfId="0" applyFill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5" fillId="7" borderId="4" xfId="0" applyFont="1" applyFill="1" applyBorder="1" applyAlignment="1">
      <alignment horizontal="center" vertical="top" wrapText="1"/>
    </xf>
    <xf numFmtId="0" fontId="5" fillId="7" borderId="4" xfId="0" applyFont="1" applyFill="1" applyBorder="1" applyAlignment="1">
      <alignment horizontal="center" vertical="top"/>
    </xf>
    <xf numFmtId="0" fontId="2" fillId="6" borderId="0" xfId="0" applyFont="1" applyFill="1" applyAlignment="1">
      <alignment horizontal="center" vertical="top"/>
    </xf>
    <xf numFmtId="165" fontId="5" fillId="5" borderId="4" xfId="0" applyNumberFormat="1" applyFont="1" applyFill="1" applyBorder="1" applyAlignment="1">
      <alignment horizontal="center" vertical="top"/>
    </xf>
    <xf numFmtId="0" fontId="0" fillId="0" borderId="0" xfId="0" applyAlignment="1">
      <alignment vertical="top" wrapText="1"/>
    </xf>
    <xf numFmtId="0" fontId="0" fillId="2" borderId="4" xfId="0" applyFill="1" applyBorder="1" applyAlignment="1">
      <alignment vertical="top"/>
    </xf>
    <xf numFmtId="0" fontId="0" fillId="2" borderId="4" xfId="0" applyFill="1" applyBorder="1" applyAlignment="1">
      <alignment horizontal="left" vertical="top"/>
    </xf>
    <xf numFmtId="0" fontId="6" fillId="0" borderId="0" xfId="0" applyFont="1" applyAlignment="1">
      <alignment vertical="top"/>
    </xf>
    <xf numFmtId="0" fontId="5" fillId="2" borderId="4" xfId="0" applyFont="1" applyFill="1" applyBorder="1" applyAlignment="1">
      <alignment horizontal="left" vertical="top"/>
    </xf>
    <xf numFmtId="0" fontId="0" fillId="0" borderId="4" xfId="0" applyBorder="1" applyAlignment="1">
      <alignment vertical="top"/>
    </xf>
    <xf numFmtId="166" fontId="2" fillId="6" borderId="0" xfId="0" applyNumberFormat="1" applyFont="1" applyFill="1" applyAlignment="1">
      <alignment horizontal="center" vertical="top"/>
    </xf>
    <xf numFmtId="0" fontId="0" fillId="2" borderId="4" xfId="0" applyFill="1" applyBorder="1" applyAlignment="1">
      <alignment vertical="top" wrapText="1"/>
    </xf>
    <xf numFmtId="0" fontId="1" fillId="2" borderId="4" xfId="0" applyFont="1" applyFill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6" fillId="7" borderId="4" xfId="0" applyFont="1" applyFill="1" applyBorder="1" applyAlignment="1">
      <alignment horizontal="center" vertical="top"/>
    </xf>
    <xf numFmtId="0" fontId="6" fillId="8" borderId="4" xfId="0" applyFont="1" applyFill="1" applyBorder="1" applyAlignment="1" applyProtection="1">
      <alignment horizontal="center"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C49D5-9B24-404B-AA46-32DB1A03F7EF}">
  <dimension ref="A2:W94"/>
  <sheetViews>
    <sheetView tabSelected="1" topLeftCell="F1" workbookViewId="0">
      <selection activeCell="R83" sqref="R83"/>
    </sheetView>
  </sheetViews>
  <sheetFormatPr defaultColWidth="13.453125" defaultRowHeight="21" customHeight="1" x14ac:dyDescent="0.35"/>
  <cols>
    <col min="2" max="2" width="30" customWidth="1"/>
    <col min="3" max="3" width="23" customWidth="1"/>
    <col min="4" max="4" width="7.1796875" customWidth="1"/>
    <col min="5" max="5" width="43.453125" customWidth="1"/>
  </cols>
  <sheetData>
    <row r="2" spans="1:23" ht="21" customHeight="1" x14ac:dyDescent="0.35">
      <c r="A2" s="1"/>
      <c r="B2" s="1"/>
      <c r="C2" s="1"/>
      <c r="D2" s="1"/>
      <c r="E2" s="2"/>
      <c r="F2" s="3" t="s">
        <v>0</v>
      </c>
      <c r="G2" s="4"/>
      <c r="H2" s="4"/>
      <c r="I2" s="4"/>
      <c r="J2" s="4"/>
      <c r="K2" s="4"/>
      <c r="L2" s="4" t="s">
        <v>1</v>
      </c>
      <c r="M2" s="4"/>
      <c r="N2" s="5" t="s">
        <v>2</v>
      </c>
      <c r="O2" s="6"/>
      <c r="P2" s="6"/>
      <c r="Q2" s="6"/>
      <c r="R2" s="6"/>
      <c r="S2" s="6"/>
      <c r="T2" s="6"/>
      <c r="U2" s="6"/>
      <c r="V2" s="7"/>
      <c r="W2" s="1"/>
    </row>
    <row r="3" spans="1:23" ht="21" customHeight="1" x14ac:dyDescent="0.35">
      <c r="A3" s="1"/>
      <c r="B3" s="8" t="s">
        <v>3</v>
      </c>
      <c r="C3" s="9"/>
      <c r="D3" s="9"/>
      <c r="E3" s="2"/>
      <c r="F3" s="10"/>
      <c r="G3" s="10"/>
      <c r="H3" s="10"/>
      <c r="I3" s="10"/>
      <c r="J3" s="10"/>
      <c r="K3" s="11"/>
      <c r="L3" s="11"/>
      <c r="M3" s="11"/>
      <c r="N3" s="12">
        <v>1</v>
      </c>
      <c r="O3" s="12">
        <v>2</v>
      </c>
      <c r="P3" s="12">
        <v>3</v>
      </c>
      <c r="Q3" s="12">
        <v>4</v>
      </c>
      <c r="R3" s="12">
        <v>1</v>
      </c>
      <c r="S3" s="12">
        <v>2</v>
      </c>
      <c r="T3" s="12">
        <v>3</v>
      </c>
      <c r="U3" s="12">
        <v>4</v>
      </c>
      <c r="V3" s="13"/>
      <c r="W3" s="9"/>
    </row>
    <row r="4" spans="1:23" ht="21" customHeight="1" x14ac:dyDescent="0.35">
      <c r="A4" s="1"/>
      <c r="B4" s="14" t="s">
        <v>4</v>
      </c>
      <c r="C4" s="15" t="s">
        <v>5</v>
      </c>
      <c r="D4" s="15" t="s">
        <v>6</v>
      </c>
      <c r="E4" s="16" t="s">
        <v>7</v>
      </c>
      <c r="F4" s="17">
        <v>2015</v>
      </c>
      <c r="G4" s="17">
        <v>2016</v>
      </c>
      <c r="H4" s="17">
        <v>2017</v>
      </c>
      <c r="I4" s="17">
        <v>2018</v>
      </c>
      <c r="J4" s="17">
        <v>2019</v>
      </c>
      <c r="K4" s="17">
        <v>2020</v>
      </c>
      <c r="L4" s="17">
        <v>2021</v>
      </c>
      <c r="M4" s="18" t="s">
        <v>8</v>
      </c>
      <c r="N4" s="19">
        <v>2022</v>
      </c>
      <c r="O4" s="19">
        <v>2022</v>
      </c>
      <c r="P4" s="19">
        <v>2022</v>
      </c>
      <c r="Q4" s="19">
        <v>2022</v>
      </c>
      <c r="R4" s="19">
        <v>2023</v>
      </c>
      <c r="S4" s="19">
        <v>2023</v>
      </c>
      <c r="T4" s="19">
        <v>2023</v>
      </c>
      <c r="U4" s="19">
        <v>2023</v>
      </c>
      <c r="V4" s="20" t="s">
        <v>9</v>
      </c>
      <c r="W4" s="21" t="s">
        <v>10</v>
      </c>
    </row>
    <row r="5" spans="1:23" ht="21" customHeight="1" x14ac:dyDescent="0.35">
      <c r="A5" s="1" t="s">
        <v>11</v>
      </c>
      <c r="B5" s="1" t="s">
        <v>12</v>
      </c>
      <c r="C5" s="22" t="s">
        <v>13</v>
      </c>
      <c r="D5" s="23" t="s">
        <v>14</v>
      </c>
      <c r="E5" s="24" t="s">
        <v>15</v>
      </c>
      <c r="F5" s="25">
        <v>10</v>
      </c>
      <c r="G5" s="25">
        <v>22</v>
      </c>
      <c r="H5" s="25">
        <v>31</v>
      </c>
      <c r="I5" s="25">
        <v>13</v>
      </c>
      <c r="J5" s="25">
        <v>12</v>
      </c>
      <c r="K5" s="26">
        <v>13</v>
      </c>
      <c r="L5" s="26">
        <v>12</v>
      </c>
      <c r="M5" s="27">
        <v>16.2</v>
      </c>
      <c r="N5" s="28">
        <f t="shared" ref="N5:Q9" si="0">($M5/$M43)*$N43</f>
        <v>3.8697450738916253</v>
      </c>
      <c r="O5" s="28">
        <f t="shared" si="0"/>
        <v>3.8697450738916253</v>
      </c>
      <c r="P5" s="28">
        <f t="shared" si="0"/>
        <v>3.8697450738916253</v>
      </c>
      <c r="Q5" s="28">
        <f t="shared" si="0"/>
        <v>3.8697450738916253</v>
      </c>
      <c r="R5" s="28">
        <f t="shared" ref="R5:U9" si="1">($N5/$N43)*$R43</f>
        <v>3.6894901477832507</v>
      </c>
      <c r="S5" s="28">
        <f t="shared" si="1"/>
        <v>3.6894901477832507</v>
      </c>
      <c r="T5" s="28">
        <f t="shared" si="1"/>
        <v>3.6894901477832507</v>
      </c>
      <c r="U5" s="28">
        <f t="shared" si="1"/>
        <v>3.6894901477832507</v>
      </c>
      <c r="V5" s="29" t="s">
        <v>16</v>
      </c>
      <c r="W5" s="24" t="s">
        <v>17</v>
      </c>
    </row>
    <row r="6" spans="1:23" ht="21" customHeight="1" x14ac:dyDescent="0.35">
      <c r="A6" s="1"/>
      <c r="B6" s="1" t="s">
        <v>12</v>
      </c>
      <c r="C6" s="30"/>
      <c r="D6" s="31" t="s">
        <v>18</v>
      </c>
      <c r="E6" s="24" t="s">
        <v>19</v>
      </c>
      <c r="F6" s="25">
        <v>0</v>
      </c>
      <c r="G6" s="25">
        <v>8</v>
      </c>
      <c r="H6" s="25">
        <v>2</v>
      </c>
      <c r="I6" s="25">
        <v>2</v>
      </c>
      <c r="J6" s="25">
        <v>0</v>
      </c>
      <c r="K6" s="26">
        <v>3</v>
      </c>
      <c r="L6" s="26">
        <v>4</v>
      </c>
      <c r="M6" s="27">
        <v>2.2000000000000002</v>
      </c>
      <c r="N6" s="28">
        <f t="shared" si="0"/>
        <v>0.54437589073634207</v>
      </c>
      <c r="O6" s="28">
        <f t="shared" si="0"/>
        <v>0.54437589073634207</v>
      </c>
      <c r="P6" s="28">
        <f t="shared" si="0"/>
        <v>0.54437589073634207</v>
      </c>
      <c r="Q6" s="28">
        <f t="shared" si="0"/>
        <v>0.54437589073634207</v>
      </c>
      <c r="R6" s="28">
        <f t="shared" si="1"/>
        <v>0.5387517814726841</v>
      </c>
      <c r="S6" s="28">
        <f t="shared" si="1"/>
        <v>0.5387517814726841</v>
      </c>
      <c r="T6" s="28">
        <f t="shared" si="1"/>
        <v>0.5387517814726841</v>
      </c>
      <c r="U6" s="28">
        <f t="shared" si="1"/>
        <v>0.5387517814726841</v>
      </c>
      <c r="V6" s="29" t="s">
        <v>16</v>
      </c>
      <c r="W6" s="31" t="s">
        <v>20</v>
      </c>
    </row>
    <row r="7" spans="1:23" ht="21" customHeight="1" x14ac:dyDescent="0.35">
      <c r="A7" s="1"/>
      <c r="B7" s="1" t="s">
        <v>12</v>
      </c>
      <c r="C7" s="30"/>
      <c r="D7" s="31" t="s">
        <v>21</v>
      </c>
      <c r="E7" s="24" t="s">
        <v>22</v>
      </c>
      <c r="F7" s="25">
        <v>1</v>
      </c>
      <c r="G7" s="25">
        <v>5</v>
      </c>
      <c r="H7" s="25">
        <v>8</v>
      </c>
      <c r="I7" s="25">
        <v>3</v>
      </c>
      <c r="J7" s="25">
        <v>5</v>
      </c>
      <c r="K7" s="26">
        <v>5</v>
      </c>
      <c r="L7" s="26">
        <v>3</v>
      </c>
      <c r="M7" s="27">
        <v>4.8</v>
      </c>
      <c r="N7" s="28">
        <f t="shared" si="0"/>
        <v>1.1951433566433567</v>
      </c>
      <c r="O7" s="28">
        <f t="shared" si="0"/>
        <v>1.1951433566433567</v>
      </c>
      <c r="P7" s="28">
        <f t="shared" si="0"/>
        <v>1.1951433566433567</v>
      </c>
      <c r="Q7" s="28">
        <f t="shared" si="0"/>
        <v>1.1951433566433567</v>
      </c>
      <c r="R7" s="28">
        <f t="shared" si="1"/>
        <v>1.1902867132867134</v>
      </c>
      <c r="S7" s="28">
        <f t="shared" si="1"/>
        <v>1.1902867132867134</v>
      </c>
      <c r="T7" s="28">
        <f t="shared" si="1"/>
        <v>1.1902867132867134</v>
      </c>
      <c r="U7" s="28">
        <f t="shared" si="1"/>
        <v>1.1902867132867134</v>
      </c>
      <c r="V7" s="29" t="s">
        <v>16</v>
      </c>
      <c r="W7" s="31" t="s">
        <v>23</v>
      </c>
    </row>
    <row r="8" spans="1:23" ht="21" customHeight="1" x14ac:dyDescent="0.35">
      <c r="A8" s="1"/>
      <c r="B8" s="1" t="s">
        <v>12</v>
      </c>
      <c r="C8" s="30"/>
      <c r="D8" s="31" t="s">
        <v>24</v>
      </c>
      <c r="E8" s="24" t="s">
        <v>25</v>
      </c>
      <c r="F8" s="25">
        <v>6</v>
      </c>
      <c r="G8" s="25">
        <v>13</v>
      </c>
      <c r="H8" s="25">
        <v>17</v>
      </c>
      <c r="I8" s="25">
        <v>23</v>
      </c>
      <c r="J8" s="25">
        <v>28</v>
      </c>
      <c r="K8" s="26">
        <v>33</v>
      </c>
      <c r="L8" s="26">
        <v>22</v>
      </c>
      <c r="M8" s="27">
        <v>24.6</v>
      </c>
      <c r="N8" s="28">
        <f t="shared" si="0"/>
        <v>6.1322846820809245</v>
      </c>
      <c r="O8" s="28">
        <f t="shared" si="0"/>
        <v>6.1322846820809245</v>
      </c>
      <c r="P8" s="28">
        <f t="shared" si="0"/>
        <v>6.1322846820809245</v>
      </c>
      <c r="Q8" s="28">
        <f t="shared" si="0"/>
        <v>6.1322846820809245</v>
      </c>
      <c r="R8" s="28">
        <f t="shared" si="1"/>
        <v>6.1145693641618495</v>
      </c>
      <c r="S8" s="28">
        <f t="shared" si="1"/>
        <v>6.1145693641618495</v>
      </c>
      <c r="T8" s="28">
        <f t="shared" si="1"/>
        <v>6.1145693641618495</v>
      </c>
      <c r="U8" s="28">
        <f t="shared" si="1"/>
        <v>6.1145693641618495</v>
      </c>
      <c r="V8" s="29" t="s">
        <v>16</v>
      </c>
      <c r="W8" s="31" t="s">
        <v>26</v>
      </c>
    </row>
    <row r="9" spans="1:23" ht="21" customHeight="1" x14ac:dyDescent="0.35">
      <c r="A9" s="1"/>
      <c r="B9" s="1" t="s">
        <v>12</v>
      </c>
      <c r="C9" s="30"/>
      <c r="D9" s="31" t="s">
        <v>27</v>
      </c>
      <c r="E9" s="32" t="s">
        <v>28</v>
      </c>
      <c r="F9" s="25">
        <v>8</v>
      </c>
      <c r="G9" s="25">
        <v>15</v>
      </c>
      <c r="H9" s="25">
        <v>18</v>
      </c>
      <c r="I9" s="25">
        <v>6</v>
      </c>
      <c r="J9" s="25">
        <v>13</v>
      </c>
      <c r="K9" s="26">
        <v>3</v>
      </c>
      <c r="L9" s="26">
        <v>2</v>
      </c>
      <c r="M9" s="27">
        <v>8.4</v>
      </c>
      <c r="N9" s="28">
        <f t="shared" si="0"/>
        <v>2.090950276243094</v>
      </c>
      <c r="O9" s="28">
        <f t="shared" si="0"/>
        <v>2.090950276243094</v>
      </c>
      <c r="P9" s="28">
        <f t="shared" si="0"/>
        <v>2.090950276243094</v>
      </c>
      <c r="Q9" s="28">
        <f t="shared" si="0"/>
        <v>2.090950276243094</v>
      </c>
      <c r="R9" s="28">
        <f t="shared" si="1"/>
        <v>2.081900552486188</v>
      </c>
      <c r="S9" s="28">
        <f t="shared" si="1"/>
        <v>2.081900552486188</v>
      </c>
      <c r="T9" s="28">
        <f t="shared" si="1"/>
        <v>2.081900552486188</v>
      </c>
      <c r="U9" s="28">
        <f t="shared" si="1"/>
        <v>2.081900552486188</v>
      </c>
      <c r="V9" s="29" t="s">
        <v>16</v>
      </c>
      <c r="W9" s="33" t="s">
        <v>26</v>
      </c>
    </row>
    <row r="10" spans="1:23" ht="21" customHeight="1" x14ac:dyDescent="0.35">
      <c r="A10" s="1"/>
      <c r="B10" s="1" t="s">
        <v>12</v>
      </c>
      <c r="C10" s="30" t="s">
        <v>29</v>
      </c>
      <c r="D10" s="31" t="s">
        <v>30</v>
      </c>
      <c r="E10" s="32" t="s">
        <v>31</v>
      </c>
      <c r="F10" s="25">
        <v>7</v>
      </c>
      <c r="G10" s="25">
        <v>2</v>
      </c>
      <c r="H10" s="25">
        <v>0</v>
      </c>
      <c r="I10" s="25">
        <v>7</v>
      </c>
      <c r="J10" s="25">
        <v>6</v>
      </c>
      <c r="K10" s="26">
        <v>11</v>
      </c>
      <c r="L10" s="26">
        <v>15</v>
      </c>
      <c r="M10" s="27">
        <v>7.8</v>
      </c>
      <c r="N10" s="28">
        <f>($M10/$M60)*$N60</f>
        <v>1.9203129310344826</v>
      </c>
      <c r="O10" s="28">
        <f>($M10/$M60)*$N60</f>
        <v>1.9203129310344826</v>
      </c>
      <c r="P10" s="28">
        <f>($M10/$M60)*$N60</f>
        <v>1.9203129310344826</v>
      </c>
      <c r="Q10" s="28">
        <f>($M10/$M60)*$N60</f>
        <v>1.9203129310344826</v>
      </c>
      <c r="R10" s="28">
        <f>($N10/$N60)*$R60</f>
        <v>1.8906258620689653</v>
      </c>
      <c r="S10" s="28">
        <f>($N10/$N60)*$R60</f>
        <v>1.8906258620689653</v>
      </c>
      <c r="T10" s="28">
        <f>($N10/$N60)*$R60</f>
        <v>1.8906258620689653</v>
      </c>
      <c r="U10" s="28">
        <f>($N10/$N60)*$R60</f>
        <v>1.8906258620689653</v>
      </c>
      <c r="V10" s="29" t="s">
        <v>16</v>
      </c>
      <c r="W10" s="31" t="s">
        <v>32</v>
      </c>
    </row>
    <row r="11" spans="1:23" ht="21" customHeight="1" x14ac:dyDescent="0.35">
      <c r="A11" s="1"/>
      <c r="B11" s="1" t="s">
        <v>12</v>
      </c>
      <c r="C11" s="30"/>
      <c r="D11" s="31" t="s">
        <v>33</v>
      </c>
      <c r="E11" s="32" t="s">
        <v>34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25">
        <v>0</v>
      </c>
      <c r="L11" s="25">
        <v>0</v>
      </c>
      <c r="M11" s="27">
        <v>0</v>
      </c>
      <c r="N11" s="28">
        <v>0</v>
      </c>
      <c r="O11" s="28">
        <v>0</v>
      </c>
      <c r="P11" s="28">
        <v>0</v>
      </c>
      <c r="Q11" s="28">
        <v>0</v>
      </c>
      <c r="R11" s="28">
        <v>0</v>
      </c>
      <c r="S11" s="28">
        <v>0</v>
      </c>
      <c r="T11" s="28">
        <v>0</v>
      </c>
      <c r="U11" s="28">
        <v>0</v>
      </c>
      <c r="V11" s="29" t="s">
        <v>16</v>
      </c>
      <c r="W11" s="33" t="s">
        <v>35</v>
      </c>
    </row>
    <row r="12" spans="1:23" ht="21" customHeight="1" x14ac:dyDescent="0.35">
      <c r="A12" s="1"/>
      <c r="B12" s="1" t="s">
        <v>12</v>
      </c>
      <c r="C12" s="30"/>
      <c r="D12" s="31" t="s">
        <v>36</v>
      </c>
      <c r="E12" s="24" t="s">
        <v>37</v>
      </c>
      <c r="F12" s="25">
        <v>0</v>
      </c>
      <c r="G12" s="25">
        <v>0</v>
      </c>
      <c r="H12" s="25">
        <v>0</v>
      </c>
      <c r="I12" s="25">
        <v>1</v>
      </c>
      <c r="J12" s="25">
        <v>3</v>
      </c>
      <c r="K12" s="26">
        <v>1</v>
      </c>
      <c r="L12" s="25">
        <v>1</v>
      </c>
      <c r="M12" s="27">
        <v>1.2</v>
      </c>
      <c r="N12" s="28">
        <f>($M12/$M55)*$N55</f>
        <v>0.29785161290322582</v>
      </c>
      <c r="O12" s="28">
        <f>($M12/$M55)*$N55</f>
        <v>0.29785161290322582</v>
      </c>
      <c r="P12" s="28">
        <f>($M12/$M55)*$N55</f>
        <v>0.29785161290322582</v>
      </c>
      <c r="Q12" s="28">
        <f>($M12/$M55)*$N55</f>
        <v>0.29785161290322582</v>
      </c>
      <c r="R12" s="28">
        <f>($N12/$N55)*$R55</f>
        <v>0.29570322580645159</v>
      </c>
      <c r="S12" s="28">
        <f>($N12/$N55)*$R55</f>
        <v>0.29570322580645159</v>
      </c>
      <c r="T12" s="28">
        <f>($N12/$N55)*$R55</f>
        <v>0.29570322580645159</v>
      </c>
      <c r="U12" s="28">
        <f>($N12/$N55)*$R55</f>
        <v>0.29570322580645159</v>
      </c>
      <c r="V12" s="29" t="s">
        <v>16</v>
      </c>
      <c r="W12" s="33" t="s">
        <v>38</v>
      </c>
    </row>
    <row r="13" spans="1:23" ht="21" customHeight="1" x14ac:dyDescent="0.35">
      <c r="A13" s="1"/>
      <c r="B13" s="1" t="s">
        <v>12</v>
      </c>
      <c r="C13" s="30"/>
      <c r="D13" s="31" t="s">
        <v>39</v>
      </c>
      <c r="E13" s="24" t="s">
        <v>40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6">
        <v>1</v>
      </c>
      <c r="L13" s="25">
        <v>0</v>
      </c>
      <c r="M13" s="27">
        <v>0.2</v>
      </c>
      <c r="N13" s="28">
        <f>($M13/$M54)*$N54</f>
        <v>4.9542682926829278E-2</v>
      </c>
      <c r="O13" s="28">
        <f>($M13/$M54)*$N54</f>
        <v>4.9542682926829278E-2</v>
      </c>
      <c r="P13" s="28">
        <f>($M13/$M54)*$N54</f>
        <v>4.9542682926829278E-2</v>
      </c>
      <c r="Q13" s="28">
        <f>($M13/$M54)*$N54</f>
        <v>4.9542682926829278E-2</v>
      </c>
      <c r="R13" s="28">
        <f>($N13/$N54)*$R54</f>
        <v>4.9085365853658552E-2</v>
      </c>
      <c r="S13" s="28">
        <f>($N13/$N54)*$R54</f>
        <v>4.9085365853658552E-2</v>
      </c>
      <c r="T13" s="28">
        <f>($N13/$N54)*$R54</f>
        <v>4.9085365853658552E-2</v>
      </c>
      <c r="U13" s="28">
        <f>($N13/$N54)*$R54</f>
        <v>4.9085365853658552E-2</v>
      </c>
      <c r="V13" s="29" t="s">
        <v>16</v>
      </c>
      <c r="W13" s="33" t="s">
        <v>38</v>
      </c>
    </row>
    <row r="14" spans="1:23" ht="21" customHeight="1" x14ac:dyDescent="0.35">
      <c r="A14" s="1"/>
      <c r="B14" s="1" t="s">
        <v>12</v>
      </c>
      <c r="C14" s="30"/>
      <c r="D14" s="31" t="s">
        <v>41</v>
      </c>
      <c r="E14" s="24" t="s">
        <v>42</v>
      </c>
      <c r="F14" s="25">
        <v>0</v>
      </c>
      <c r="G14" s="25">
        <v>1</v>
      </c>
      <c r="H14" s="25">
        <v>0</v>
      </c>
      <c r="I14" s="25">
        <v>0</v>
      </c>
      <c r="J14" s="25">
        <v>1</v>
      </c>
      <c r="K14" s="26">
        <v>0</v>
      </c>
      <c r="L14" s="25">
        <v>0</v>
      </c>
      <c r="M14" s="27">
        <v>0.2</v>
      </c>
      <c r="N14" s="28">
        <f>($M14/$M51)*$N51</f>
        <v>4.9494444444444445E-2</v>
      </c>
      <c r="O14" s="28">
        <f>($M14/$M51)*$N51</f>
        <v>4.9494444444444445E-2</v>
      </c>
      <c r="P14" s="28">
        <f>($M14/$M51)*$N51</f>
        <v>4.9494444444444445E-2</v>
      </c>
      <c r="Q14" s="28">
        <f>($M14/$M51)*$N51</f>
        <v>4.9494444444444445E-2</v>
      </c>
      <c r="R14" s="28">
        <f>($N14/$N51)*$R51</f>
        <v>4.8988888888888894E-2</v>
      </c>
      <c r="S14" s="28">
        <f>($N14/$N51)*$R51</f>
        <v>4.8988888888888894E-2</v>
      </c>
      <c r="T14" s="28">
        <f>($N14/$N51)*$R51</f>
        <v>4.8988888888888894E-2</v>
      </c>
      <c r="U14" s="28">
        <f>($N14/$N51)*$R51</f>
        <v>4.8988888888888894E-2</v>
      </c>
      <c r="V14" s="29" t="s">
        <v>16</v>
      </c>
      <c r="W14" s="33" t="s">
        <v>26</v>
      </c>
    </row>
    <row r="15" spans="1:23" ht="21" customHeight="1" x14ac:dyDescent="0.35">
      <c r="A15" s="1"/>
      <c r="B15" s="1" t="s">
        <v>12</v>
      </c>
      <c r="C15" s="30"/>
      <c r="D15" s="31" t="s">
        <v>43</v>
      </c>
      <c r="E15" s="24" t="s">
        <v>44</v>
      </c>
      <c r="F15" s="25">
        <v>0</v>
      </c>
      <c r="G15" s="25">
        <v>1</v>
      </c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7">
        <v>0</v>
      </c>
      <c r="N15" s="28">
        <v>0</v>
      </c>
      <c r="O15" s="28">
        <v>0</v>
      </c>
      <c r="P15" s="28">
        <v>0</v>
      </c>
      <c r="Q15" s="28">
        <v>0</v>
      </c>
      <c r="R15" s="28">
        <v>0</v>
      </c>
      <c r="S15" s="28">
        <v>0</v>
      </c>
      <c r="T15" s="28">
        <v>0</v>
      </c>
      <c r="U15" s="28">
        <v>0</v>
      </c>
      <c r="V15" s="29" t="s">
        <v>16</v>
      </c>
      <c r="W15" s="31" t="s">
        <v>45</v>
      </c>
    </row>
    <row r="16" spans="1:23" ht="21" customHeight="1" x14ac:dyDescent="0.35">
      <c r="A16" s="1"/>
      <c r="B16" s="1" t="s">
        <v>12</v>
      </c>
      <c r="C16" s="30"/>
      <c r="D16" s="31" t="s">
        <v>46</v>
      </c>
      <c r="E16" s="24" t="s">
        <v>47</v>
      </c>
      <c r="F16" s="25">
        <v>0</v>
      </c>
      <c r="G16" s="25">
        <v>1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7">
        <v>0</v>
      </c>
      <c r="N16" s="28">
        <v>0</v>
      </c>
      <c r="O16" s="28">
        <v>0</v>
      </c>
      <c r="P16" s="28">
        <v>0</v>
      </c>
      <c r="Q16" s="28">
        <v>0</v>
      </c>
      <c r="R16" s="28">
        <v>0</v>
      </c>
      <c r="S16" s="28">
        <v>0</v>
      </c>
      <c r="T16" s="28">
        <v>0</v>
      </c>
      <c r="U16" s="28">
        <v>0</v>
      </c>
      <c r="V16" s="29" t="s">
        <v>16</v>
      </c>
      <c r="W16" s="33" t="s">
        <v>38</v>
      </c>
    </row>
    <row r="17" spans="1:23" ht="21" customHeight="1" x14ac:dyDescent="0.35">
      <c r="A17" s="1"/>
      <c r="B17" s="1" t="s">
        <v>12</v>
      </c>
      <c r="C17" s="30"/>
      <c r="D17" s="23" t="s">
        <v>48</v>
      </c>
      <c r="E17" s="24" t="s">
        <v>49</v>
      </c>
      <c r="F17" s="25">
        <v>27</v>
      </c>
      <c r="G17" s="25">
        <v>71</v>
      </c>
      <c r="H17" s="25">
        <v>60</v>
      </c>
      <c r="I17" s="25">
        <v>35</v>
      </c>
      <c r="J17" s="25">
        <v>40</v>
      </c>
      <c r="K17" s="26">
        <v>18</v>
      </c>
      <c r="L17" s="26">
        <v>33</v>
      </c>
      <c r="M17" s="27">
        <v>37.200000000000003</v>
      </c>
      <c r="N17" s="28">
        <f>(($M17)/($M62+$M53+$M58))*($N62+$N53+$N58)</f>
        <v>9.2276805929919128</v>
      </c>
      <c r="O17" s="28">
        <f>(($M17)/($M62+$M53+$M58))*($N62+$N53+$N58)</f>
        <v>9.2276805929919128</v>
      </c>
      <c r="P17" s="28">
        <f>(($M17)/($M62+$M53+$M58))*($N62+$N53+$N58)</f>
        <v>9.2276805929919128</v>
      </c>
      <c r="Q17" s="28">
        <f>(($M17)/($M62+$M53+$M58))*($N62+$N53+$N58)</f>
        <v>9.2276805929919128</v>
      </c>
      <c r="R17" s="28">
        <f>(($N17)/($N62+$N53+$N58))*($R62+$R53+$R58)</f>
        <v>9.1553611859838266</v>
      </c>
      <c r="S17" s="28">
        <f>(($N17)/($N62+$N53+$N58))*($R62+$R53+$R58)</f>
        <v>9.1553611859838266</v>
      </c>
      <c r="T17" s="28">
        <f>(($N17)/($N62+$N53+$N58))*($R62+$R53+$R58)</f>
        <v>9.1553611859838266</v>
      </c>
      <c r="U17" s="28">
        <f>(($N17)/($N62+$N53+$N58))*($R62+$R53+$R58)</f>
        <v>9.1553611859838266</v>
      </c>
      <c r="V17" s="29" t="s">
        <v>16</v>
      </c>
      <c r="W17" s="33" t="s">
        <v>38</v>
      </c>
    </row>
    <row r="18" spans="1:23" ht="21" customHeight="1" x14ac:dyDescent="0.35">
      <c r="A18" s="1"/>
      <c r="B18" s="1" t="s">
        <v>12</v>
      </c>
      <c r="C18" s="30" t="s">
        <v>50</v>
      </c>
      <c r="D18" s="31" t="s">
        <v>51</v>
      </c>
      <c r="E18" s="24" t="s">
        <v>52</v>
      </c>
      <c r="F18" s="25">
        <v>0</v>
      </c>
      <c r="G18" s="25">
        <v>0</v>
      </c>
      <c r="H18" s="25">
        <v>0</v>
      </c>
      <c r="I18" s="25">
        <v>0</v>
      </c>
      <c r="J18" s="25">
        <v>1</v>
      </c>
      <c r="K18" s="26">
        <v>0</v>
      </c>
      <c r="L18" s="26">
        <v>0</v>
      </c>
      <c r="M18" s="27">
        <v>0.2</v>
      </c>
      <c r="N18" s="28">
        <f t="shared" ref="N18:Q21" si="2">($M18/$M63)*$N63</f>
        <v>4.9218750000000006E-2</v>
      </c>
      <c r="O18" s="28">
        <f t="shared" si="2"/>
        <v>4.9218750000000006E-2</v>
      </c>
      <c r="P18" s="28">
        <f t="shared" si="2"/>
        <v>4.9218750000000006E-2</v>
      </c>
      <c r="Q18" s="28">
        <f t="shared" si="2"/>
        <v>4.9218750000000006E-2</v>
      </c>
      <c r="R18" s="28">
        <f t="shared" ref="R18:U21" si="3">($N18/$N63)*$R63</f>
        <v>4.8437500000000008E-2</v>
      </c>
      <c r="S18" s="28">
        <f t="shared" si="3"/>
        <v>4.8437500000000008E-2</v>
      </c>
      <c r="T18" s="28">
        <f t="shared" si="3"/>
        <v>4.8437500000000008E-2</v>
      </c>
      <c r="U18" s="28">
        <f t="shared" si="3"/>
        <v>4.8437500000000008E-2</v>
      </c>
      <c r="V18" s="29" t="s">
        <v>16</v>
      </c>
      <c r="W18" s="31" t="s">
        <v>20</v>
      </c>
    </row>
    <row r="19" spans="1:23" ht="21" customHeight="1" x14ac:dyDescent="0.35">
      <c r="A19" s="1"/>
      <c r="B19" s="1" t="s">
        <v>12</v>
      </c>
      <c r="C19" s="30" t="s">
        <v>53</v>
      </c>
      <c r="D19" s="31" t="s">
        <v>54</v>
      </c>
      <c r="E19" s="34" t="s">
        <v>55</v>
      </c>
      <c r="F19" s="25">
        <v>0</v>
      </c>
      <c r="G19" s="25">
        <v>0</v>
      </c>
      <c r="H19" s="25">
        <v>0</v>
      </c>
      <c r="I19" s="25">
        <v>2</v>
      </c>
      <c r="J19" s="25">
        <v>2</v>
      </c>
      <c r="K19" s="26">
        <v>4</v>
      </c>
      <c r="L19" s="26">
        <v>0</v>
      </c>
      <c r="M19" s="35">
        <v>1.6</v>
      </c>
      <c r="N19" s="28">
        <f t="shared" si="2"/>
        <v>0.39914285714285719</v>
      </c>
      <c r="O19" s="28">
        <f t="shared" si="2"/>
        <v>0.39914285714285719</v>
      </c>
      <c r="P19" s="28">
        <f t="shared" si="2"/>
        <v>0.39914285714285719</v>
      </c>
      <c r="Q19" s="28">
        <f t="shared" si="2"/>
        <v>0.39914285714285719</v>
      </c>
      <c r="R19" s="28">
        <f t="shared" si="3"/>
        <v>0.39828571428571435</v>
      </c>
      <c r="S19" s="28">
        <f t="shared" si="3"/>
        <v>0.39828571428571435</v>
      </c>
      <c r="T19" s="28">
        <f t="shared" si="3"/>
        <v>0.39828571428571435</v>
      </c>
      <c r="U19" s="28">
        <f t="shared" si="3"/>
        <v>0.39828571428571435</v>
      </c>
      <c r="V19" s="29" t="s">
        <v>16</v>
      </c>
      <c r="W19" s="31" t="s">
        <v>56</v>
      </c>
    </row>
    <row r="20" spans="1:23" ht="21" customHeight="1" x14ac:dyDescent="0.35">
      <c r="A20" s="1"/>
      <c r="B20" s="1" t="s">
        <v>12</v>
      </c>
      <c r="C20" s="30" t="s">
        <v>57</v>
      </c>
      <c r="D20" s="31" t="s">
        <v>58</v>
      </c>
      <c r="E20" s="24" t="s">
        <v>59</v>
      </c>
      <c r="F20" s="25">
        <v>1</v>
      </c>
      <c r="G20" s="25">
        <v>1</v>
      </c>
      <c r="H20" s="25">
        <v>1</v>
      </c>
      <c r="I20" s="25">
        <v>2</v>
      </c>
      <c r="J20" s="25">
        <v>1</v>
      </c>
      <c r="K20" s="26">
        <v>0</v>
      </c>
      <c r="L20" s="26">
        <v>1</v>
      </c>
      <c r="M20" s="27">
        <v>1</v>
      </c>
      <c r="N20" s="28">
        <f t="shared" si="2"/>
        <v>0.25</v>
      </c>
      <c r="O20" s="28">
        <f t="shared" si="2"/>
        <v>0.25</v>
      </c>
      <c r="P20" s="28">
        <f t="shared" si="2"/>
        <v>0.25</v>
      </c>
      <c r="Q20" s="28">
        <f t="shared" si="2"/>
        <v>0.25</v>
      </c>
      <c r="R20" s="28">
        <f t="shared" si="3"/>
        <v>0.25</v>
      </c>
      <c r="S20" s="28">
        <f t="shared" si="3"/>
        <v>0.25</v>
      </c>
      <c r="T20" s="28">
        <f t="shared" si="3"/>
        <v>0.25</v>
      </c>
      <c r="U20" s="28">
        <f t="shared" si="3"/>
        <v>0.25</v>
      </c>
      <c r="V20" s="29" t="s">
        <v>16</v>
      </c>
      <c r="W20" s="31" t="s">
        <v>60</v>
      </c>
    </row>
    <row r="21" spans="1:23" ht="21" customHeight="1" x14ac:dyDescent="0.35">
      <c r="A21" s="1"/>
      <c r="B21" s="1" t="s">
        <v>12</v>
      </c>
      <c r="C21" s="30" t="s">
        <v>61</v>
      </c>
      <c r="D21" s="31" t="s">
        <v>62</v>
      </c>
      <c r="E21" s="24" t="s">
        <v>63</v>
      </c>
      <c r="F21" s="25">
        <v>0</v>
      </c>
      <c r="G21" s="25">
        <v>0</v>
      </c>
      <c r="H21" s="25">
        <v>0</v>
      </c>
      <c r="I21" s="25">
        <v>1</v>
      </c>
      <c r="J21" s="25">
        <v>1</v>
      </c>
      <c r="K21" s="26">
        <v>2</v>
      </c>
      <c r="L21" s="26">
        <v>4</v>
      </c>
      <c r="M21" s="27">
        <v>1.6</v>
      </c>
      <c r="N21" s="28">
        <f t="shared" si="2"/>
        <v>0.39981818181818191</v>
      </c>
      <c r="O21" s="28">
        <f t="shared" si="2"/>
        <v>0.39981818181818191</v>
      </c>
      <c r="P21" s="28">
        <f t="shared" si="2"/>
        <v>0.39981818181818191</v>
      </c>
      <c r="Q21" s="28">
        <f t="shared" si="2"/>
        <v>0.39981818181818191</v>
      </c>
      <c r="R21" s="28">
        <f t="shared" si="3"/>
        <v>0.39963636363636373</v>
      </c>
      <c r="S21" s="28">
        <f t="shared" si="3"/>
        <v>0.39963636363636373</v>
      </c>
      <c r="T21" s="28">
        <f t="shared" si="3"/>
        <v>0.39963636363636373</v>
      </c>
      <c r="U21" s="28">
        <f t="shared" si="3"/>
        <v>0.39963636363636373</v>
      </c>
      <c r="V21" s="29" t="s">
        <v>16</v>
      </c>
      <c r="W21" s="31" t="s">
        <v>26</v>
      </c>
    </row>
    <row r="22" spans="1:23" ht="21" customHeight="1" x14ac:dyDescent="0.35">
      <c r="A22" s="1"/>
      <c r="B22" s="1" t="s">
        <v>12</v>
      </c>
      <c r="C22" s="30" t="s">
        <v>64</v>
      </c>
      <c r="D22" s="31" t="s">
        <v>65</v>
      </c>
      <c r="E22" s="24" t="s">
        <v>66</v>
      </c>
      <c r="F22" s="25">
        <v>1</v>
      </c>
      <c r="G22" s="25">
        <v>0</v>
      </c>
      <c r="H22" s="25">
        <v>0</v>
      </c>
      <c r="I22" s="25">
        <v>0</v>
      </c>
      <c r="J22" s="25">
        <v>0</v>
      </c>
      <c r="K22" s="26">
        <v>0</v>
      </c>
      <c r="L22" s="26">
        <v>0</v>
      </c>
      <c r="M22" s="27">
        <v>0</v>
      </c>
      <c r="N22" s="28">
        <f>(($M22/($M67)*($N67)))</f>
        <v>0</v>
      </c>
      <c r="O22" s="28">
        <f>(($M22/($M67)*($N67)))</f>
        <v>0</v>
      </c>
      <c r="P22" s="28">
        <f>(($M22/($M67)*($N67)))</f>
        <v>0</v>
      </c>
      <c r="Q22" s="28">
        <f>(($M22/($M67)*($N67)))</f>
        <v>0</v>
      </c>
      <c r="R22" s="28">
        <f>(($N22/($N67)*($R67)))</f>
        <v>0</v>
      </c>
      <c r="S22" s="28">
        <f>(($N22/($N67)*($R67)))</f>
        <v>0</v>
      </c>
      <c r="T22" s="28">
        <f>(($N22/($N67)*($R67)))</f>
        <v>0</v>
      </c>
      <c r="U22" s="28">
        <f>(($N22/($N67)*($R67)))</f>
        <v>0</v>
      </c>
      <c r="V22" s="29" t="s">
        <v>16</v>
      </c>
      <c r="W22" s="33" t="s">
        <v>26</v>
      </c>
    </row>
    <row r="23" spans="1:23" ht="21" customHeight="1" x14ac:dyDescent="0.35">
      <c r="A23" s="1"/>
      <c r="B23" s="1" t="s">
        <v>12</v>
      </c>
      <c r="C23" s="30" t="s">
        <v>67</v>
      </c>
      <c r="D23" s="31" t="s">
        <v>68</v>
      </c>
      <c r="E23" s="24" t="s">
        <v>69</v>
      </c>
      <c r="F23" s="25">
        <v>0</v>
      </c>
      <c r="G23" s="25">
        <v>2</v>
      </c>
      <c r="H23" s="25">
        <v>0</v>
      </c>
      <c r="I23" s="25">
        <v>0</v>
      </c>
      <c r="J23" s="25">
        <v>0</v>
      </c>
      <c r="K23" s="26">
        <v>0</v>
      </c>
      <c r="L23" s="26">
        <v>0</v>
      </c>
      <c r="M23" s="35">
        <v>0</v>
      </c>
      <c r="N23" s="28">
        <f>($M23/$M68)*$N68</f>
        <v>0</v>
      </c>
      <c r="O23" s="28">
        <f>($M23/$M68)*$N68</f>
        <v>0</v>
      </c>
      <c r="P23" s="28">
        <f>($M23/$M68)*$N68</f>
        <v>0</v>
      </c>
      <c r="Q23" s="28">
        <f>($M23/$M68)*$N68</f>
        <v>0</v>
      </c>
      <c r="R23" s="28">
        <f>($N23/$N68)*$R68</f>
        <v>0</v>
      </c>
      <c r="S23" s="28">
        <f>($N23/$N68)*$R68</f>
        <v>0</v>
      </c>
      <c r="T23" s="28">
        <f>($N23/$N68)*$R68</f>
        <v>0</v>
      </c>
      <c r="U23" s="28">
        <f>($N23/$N68)*$R68</f>
        <v>0</v>
      </c>
      <c r="V23" s="29" t="s">
        <v>16</v>
      </c>
      <c r="W23" s="31" t="s">
        <v>20</v>
      </c>
    </row>
    <row r="24" spans="1:23" ht="21" customHeight="1" x14ac:dyDescent="0.35">
      <c r="A24" s="1" t="s">
        <v>11</v>
      </c>
      <c r="B24" s="30" t="s">
        <v>70</v>
      </c>
      <c r="C24" s="30" t="s">
        <v>71</v>
      </c>
      <c r="D24" s="36" t="s">
        <v>72</v>
      </c>
      <c r="E24" s="24" t="s">
        <v>73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7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9" t="s">
        <v>16</v>
      </c>
      <c r="W24" s="31" t="s">
        <v>74</v>
      </c>
    </row>
    <row r="25" spans="1:23" ht="21" customHeight="1" x14ac:dyDescent="0.35">
      <c r="A25" s="1"/>
      <c r="B25" s="30" t="s">
        <v>70</v>
      </c>
      <c r="C25" s="30"/>
      <c r="D25" s="31" t="s">
        <v>75</v>
      </c>
      <c r="E25" s="24" t="s">
        <v>76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7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9" t="s">
        <v>16</v>
      </c>
      <c r="W25" s="31" t="s">
        <v>74</v>
      </c>
    </row>
    <row r="26" spans="1:23" ht="21" customHeight="1" x14ac:dyDescent="0.35">
      <c r="A26" s="1"/>
      <c r="B26" s="30" t="s">
        <v>70</v>
      </c>
      <c r="C26" s="30"/>
      <c r="D26" s="31" t="s">
        <v>77</v>
      </c>
      <c r="E26" s="24" t="s">
        <v>78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7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9" t="s">
        <v>16</v>
      </c>
      <c r="W26" s="37" t="s">
        <v>74</v>
      </c>
    </row>
    <row r="27" spans="1:23" ht="21" customHeight="1" x14ac:dyDescent="0.35">
      <c r="A27" s="1"/>
      <c r="B27" s="30" t="s">
        <v>70</v>
      </c>
      <c r="C27" s="30"/>
      <c r="D27" s="31" t="s">
        <v>79</v>
      </c>
      <c r="E27" s="24" t="s">
        <v>80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7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9" t="s">
        <v>16</v>
      </c>
      <c r="W27" s="37"/>
    </row>
    <row r="28" spans="1:23" ht="21" customHeight="1" x14ac:dyDescent="0.35">
      <c r="A28" s="1"/>
      <c r="B28" s="30" t="s">
        <v>70</v>
      </c>
      <c r="C28" s="30"/>
      <c r="D28" s="31" t="s">
        <v>81</v>
      </c>
      <c r="E28" s="32" t="s">
        <v>82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7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9" t="s">
        <v>16</v>
      </c>
      <c r="W28" s="31" t="s">
        <v>74</v>
      </c>
    </row>
    <row r="29" spans="1:23" ht="21" customHeight="1" x14ac:dyDescent="0.35">
      <c r="A29" s="1"/>
      <c r="B29" s="30" t="s">
        <v>70</v>
      </c>
      <c r="C29" s="30" t="s">
        <v>83</v>
      </c>
      <c r="D29" s="31" t="s">
        <v>84</v>
      </c>
      <c r="E29" s="32" t="s">
        <v>85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7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9" t="s">
        <v>16</v>
      </c>
      <c r="W29" s="31" t="s">
        <v>74</v>
      </c>
    </row>
    <row r="30" spans="1:23" ht="21" customHeight="1" x14ac:dyDescent="0.35">
      <c r="A30" s="1"/>
      <c r="B30" s="30" t="s">
        <v>70</v>
      </c>
      <c r="C30" s="30"/>
      <c r="D30" s="31" t="s">
        <v>86</v>
      </c>
      <c r="E30" s="32" t="s">
        <v>87</v>
      </c>
      <c r="F30" s="25">
        <v>0</v>
      </c>
      <c r="G30" s="25">
        <v>1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7">
        <v>0</v>
      </c>
      <c r="N30" s="28">
        <f t="shared" ref="N30:U30" si="4">($M30/$M75)*$N75</f>
        <v>0</v>
      </c>
      <c r="O30" s="28">
        <f t="shared" si="4"/>
        <v>0</v>
      </c>
      <c r="P30" s="28">
        <f t="shared" si="4"/>
        <v>0</v>
      </c>
      <c r="Q30" s="28">
        <f t="shared" si="4"/>
        <v>0</v>
      </c>
      <c r="R30" s="28">
        <f t="shared" si="4"/>
        <v>0</v>
      </c>
      <c r="S30" s="28">
        <f t="shared" si="4"/>
        <v>0</v>
      </c>
      <c r="T30" s="28">
        <f t="shared" si="4"/>
        <v>0</v>
      </c>
      <c r="U30" s="28">
        <f t="shared" si="4"/>
        <v>0</v>
      </c>
      <c r="V30" s="29" t="s">
        <v>16</v>
      </c>
      <c r="W30" s="31" t="s">
        <v>74</v>
      </c>
    </row>
    <row r="31" spans="1:23" ht="21" customHeight="1" x14ac:dyDescent="0.35">
      <c r="A31" s="1"/>
      <c r="B31" s="30" t="s">
        <v>70</v>
      </c>
      <c r="C31" s="30"/>
      <c r="D31" s="31" t="s">
        <v>88</v>
      </c>
      <c r="E31" s="24" t="s">
        <v>89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7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9" t="s">
        <v>16</v>
      </c>
      <c r="W31" s="31" t="s">
        <v>74</v>
      </c>
    </row>
    <row r="32" spans="1:23" ht="21" customHeight="1" x14ac:dyDescent="0.35">
      <c r="A32" s="1"/>
      <c r="B32" s="30" t="s">
        <v>70</v>
      </c>
      <c r="C32" s="30"/>
      <c r="D32" s="31" t="s">
        <v>90</v>
      </c>
      <c r="E32" s="24" t="s">
        <v>91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7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9" t="s">
        <v>16</v>
      </c>
      <c r="W32" s="31" t="s">
        <v>74</v>
      </c>
    </row>
    <row r="33" spans="1:23" ht="21" customHeight="1" x14ac:dyDescent="0.35">
      <c r="A33" s="1"/>
      <c r="B33" s="30" t="s">
        <v>70</v>
      </c>
      <c r="C33" s="30"/>
      <c r="D33" s="31" t="s">
        <v>92</v>
      </c>
      <c r="E33" s="24" t="s">
        <v>93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7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9" t="s">
        <v>16</v>
      </c>
      <c r="W33" s="37"/>
    </row>
    <row r="34" spans="1:23" ht="21" customHeight="1" x14ac:dyDescent="0.35">
      <c r="A34" s="1"/>
      <c r="B34" s="30" t="s">
        <v>70</v>
      </c>
      <c r="C34" s="30"/>
      <c r="D34" s="31" t="s">
        <v>94</v>
      </c>
      <c r="E34" s="24" t="s">
        <v>95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7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9" t="s">
        <v>16</v>
      </c>
      <c r="W34" s="31" t="s">
        <v>74</v>
      </c>
    </row>
    <row r="35" spans="1:23" ht="21" customHeight="1" x14ac:dyDescent="0.35">
      <c r="A35" s="1"/>
      <c r="B35" s="30" t="s">
        <v>70</v>
      </c>
      <c r="C35" s="30"/>
      <c r="D35" s="31" t="s">
        <v>96</v>
      </c>
      <c r="E35" s="24" t="s">
        <v>97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7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9" t="s">
        <v>16</v>
      </c>
      <c r="W35" s="31" t="s">
        <v>74</v>
      </c>
    </row>
    <row r="36" spans="1:23" ht="21" customHeight="1" x14ac:dyDescent="0.35">
      <c r="A36" s="1"/>
      <c r="B36" s="30" t="s">
        <v>70</v>
      </c>
      <c r="C36" s="30"/>
      <c r="D36" s="23" t="s">
        <v>98</v>
      </c>
      <c r="E36" s="24" t="s">
        <v>99</v>
      </c>
      <c r="F36" s="25">
        <v>0</v>
      </c>
      <c r="G36" s="25">
        <v>0</v>
      </c>
      <c r="H36" s="25">
        <v>1</v>
      </c>
      <c r="I36" s="25">
        <v>0</v>
      </c>
      <c r="J36" s="25">
        <v>0</v>
      </c>
      <c r="K36" s="25">
        <v>1</v>
      </c>
      <c r="L36" s="25">
        <v>0</v>
      </c>
      <c r="M36" s="27">
        <v>0.4</v>
      </c>
      <c r="N36" s="28">
        <f>(($M36)/($M88+$M79+$M84))*($N88+$N79+$N84)</f>
        <v>9.9500000000000019E-2</v>
      </c>
      <c r="O36" s="28">
        <f>(($M36)/($M88+$M79+$M84))*($N88+$N79+$N84)</f>
        <v>9.9500000000000019E-2</v>
      </c>
      <c r="P36" s="28">
        <f>(($M36)/($M88+$M79+$M84))*($N88+$N79+$N84)</f>
        <v>9.9500000000000019E-2</v>
      </c>
      <c r="Q36" s="28">
        <f>(($M36)/($M88+$M79+$M84))*($N88+$N79+$N84)</f>
        <v>9.9500000000000019E-2</v>
      </c>
      <c r="R36" s="28">
        <f>(($N36)/($N88+$N79+$N84))*($R88+$R79+$R84)</f>
        <v>9.9000000000000019E-2</v>
      </c>
      <c r="S36" s="28">
        <f>(($N36)/($N88+$N79+$N84))*($R88+$R79+$R84)</f>
        <v>9.9000000000000019E-2</v>
      </c>
      <c r="T36" s="28">
        <f>(($N36)/($N88+$N79+$N84))*($R88+$R79+$R84)</f>
        <v>9.9000000000000019E-2</v>
      </c>
      <c r="U36" s="28">
        <f>(($N36)/($N88+$N79+$N84))*($R88+$R79+$R84)</f>
        <v>9.9000000000000019E-2</v>
      </c>
      <c r="V36" s="29" t="s">
        <v>16</v>
      </c>
      <c r="W36" s="31" t="s">
        <v>74</v>
      </c>
    </row>
    <row r="37" spans="1:23" ht="21" customHeight="1" x14ac:dyDescent="0.35">
      <c r="A37" s="1"/>
      <c r="B37" s="30" t="s">
        <v>70</v>
      </c>
      <c r="C37" s="30" t="s">
        <v>100</v>
      </c>
      <c r="D37" s="31" t="s">
        <v>101</v>
      </c>
      <c r="E37" s="24" t="s">
        <v>102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7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9" t="s">
        <v>16</v>
      </c>
      <c r="W37" s="31" t="s">
        <v>74</v>
      </c>
    </row>
    <row r="38" spans="1:23" ht="21" customHeight="1" x14ac:dyDescent="0.35">
      <c r="A38" s="1"/>
      <c r="B38" s="30" t="s">
        <v>70</v>
      </c>
      <c r="C38" s="30" t="s">
        <v>103</v>
      </c>
      <c r="D38" s="31" t="s">
        <v>104</v>
      </c>
      <c r="E38" s="34" t="s">
        <v>105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7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9" t="s">
        <v>16</v>
      </c>
      <c r="W38" s="31" t="s">
        <v>74</v>
      </c>
    </row>
    <row r="39" spans="1:23" ht="21" customHeight="1" x14ac:dyDescent="0.35">
      <c r="A39" s="1"/>
      <c r="B39" s="30" t="s">
        <v>70</v>
      </c>
      <c r="C39" s="30" t="s">
        <v>106</v>
      </c>
      <c r="D39" s="31" t="s">
        <v>107</v>
      </c>
      <c r="E39" s="24" t="s">
        <v>59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7">
        <v>0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9" t="s">
        <v>16</v>
      </c>
      <c r="W39" s="31"/>
    </row>
    <row r="40" spans="1:23" ht="21" customHeight="1" x14ac:dyDescent="0.35">
      <c r="A40" s="1"/>
      <c r="B40" s="30" t="s">
        <v>70</v>
      </c>
      <c r="C40" s="30" t="s">
        <v>108</v>
      </c>
      <c r="D40" s="31" t="s">
        <v>109</v>
      </c>
      <c r="E40" s="24" t="s">
        <v>110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7">
        <v>0</v>
      </c>
      <c r="N40" s="28"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9" t="s">
        <v>16</v>
      </c>
      <c r="W40" s="31"/>
    </row>
    <row r="41" spans="1:23" ht="21" customHeight="1" x14ac:dyDescent="0.35">
      <c r="A41" s="1"/>
      <c r="B41" s="30" t="s">
        <v>70</v>
      </c>
      <c r="C41" s="30" t="s">
        <v>111</v>
      </c>
      <c r="D41" s="31" t="s">
        <v>112</v>
      </c>
      <c r="E41" s="24" t="s">
        <v>113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7">
        <v>0</v>
      </c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9" t="s">
        <v>16</v>
      </c>
      <c r="W41" s="31" t="s">
        <v>74</v>
      </c>
    </row>
    <row r="42" spans="1:23" ht="21" customHeight="1" x14ac:dyDescent="0.35">
      <c r="A42" s="1"/>
      <c r="B42" s="30" t="s">
        <v>70</v>
      </c>
      <c r="C42" s="30" t="s">
        <v>114</v>
      </c>
      <c r="D42" s="31" t="s">
        <v>115</v>
      </c>
      <c r="E42" s="24" t="s">
        <v>116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7">
        <v>0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9" t="s">
        <v>16</v>
      </c>
      <c r="W42" s="31" t="s">
        <v>74</v>
      </c>
    </row>
    <row r="43" spans="1:23" ht="21" customHeight="1" x14ac:dyDescent="0.35">
      <c r="A43" s="1" t="s">
        <v>11</v>
      </c>
      <c r="B43" s="30" t="s">
        <v>117</v>
      </c>
      <c r="C43" s="30" t="s">
        <v>118</v>
      </c>
      <c r="D43" s="36" t="s">
        <v>119</v>
      </c>
      <c r="E43" s="24" t="s">
        <v>15</v>
      </c>
      <c r="F43" s="25">
        <v>27</v>
      </c>
      <c r="G43" s="25">
        <v>61</v>
      </c>
      <c r="H43" s="25">
        <v>70</v>
      </c>
      <c r="I43" s="25">
        <v>34</v>
      </c>
      <c r="J43" s="25">
        <v>27</v>
      </c>
      <c r="K43" s="26">
        <v>31</v>
      </c>
      <c r="L43" s="26">
        <v>41</v>
      </c>
      <c r="M43" s="27">
        <v>40.6</v>
      </c>
      <c r="N43" s="28">
        <f>(($M43)-(0.132+0.262+0.074+1.339))/4</f>
        <v>9.6982499999999998</v>
      </c>
      <c r="O43" s="28">
        <f t="shared" ref="O43:Q43" si="5">(($M43)-(0.132+0.262+0.074+1.339))/4</f>
        <v>9.6982499999999998</v>
      </c>
      <c r="P43" s="28">
        <f t="shared" si="5"/>
        <v>9.6982499999999998</v>
      </c>
      <c r="Q43" s="28">
        <f t="shared" si="5"/>
        <v>9.6982499999999998</v>
      </c>
      <c r="R43" s="28">
        <f>(($N43*4)-(0.132+0.262+0.074+1.339))/4</f>
        <v>9.2464999999999993</v>
      </c>
      <c r="S43" s="28">
        <f t="shared" ref="S43:U43" si="6">(($N43*4)-(0.132+0.262+0.074+1.339))/4</f>
        <v>9.2464999999999993</v>
      </c>
      <c r="T43" s="28">
        <f t="shared" si="6"/>
        <v>9.2464999999999993</v>
      </c>
      <c r="U43" s="28">
        <f t="shared" si="6"/>
        <v>9.2464999999999993</v>
      </c>
      <c r="V43" s="29" t="s">
        <v>16</v>
      </c>
      <c r="W43" s="24" t="s">
        <v>17</v>
      </c>
    </row>
    <row r="44" spans="1:23" ht="21" customHeight="1" x14ac:dyDescent="0.35">
      <c r="A44" s="1"/>
      <c r="B44" s="30" t="s">
        <v>117</v>
      </c>
      <c r="C44" s="30"/>
      <c r="D44" s="31" t="s">
        <v>120</v>
      </c>
      <c r="E44" s="24" t="s">
        <v>19</v>
      </c>
      <c r="F44" s="25">
        <v>70</v>
      </c>
      <c r="G44" s="25">
        <v>80</v>
      </c>
      <c r="H44" s="25">
        <v>77</v>
      </c>
      <c r="I44" s="25">
        <v>74</v>
      </c>
      <c r="J44" s="25">
        <v>89</v>
      </c>
      <c r="K44" s="26">
        <v>95</v>
      </c>
      <c r="L44" s="26">
        <v>86</v>
      </c>
      <c r="M44" s="27">
        <v>84.2</v>
      </c>
      <c r="N44" s="28">
        <f>($M44-(0.243+0.482+0.136))/4</f>
        <v>20.83475</v>
      </c>
      <c r="O44" s="28">
        <f t="shared" ref="O44:Q44" si="7">($M44-(0.243+0.482+0.136))/4</f>
        <v>20.83475</v>
      </c>
      <c r="P44" s="28">
        <f t="shared" si="7"/>
        <v>20.83475</v>
      </c>
      <c r="Q44" s="28">
        <f t="shared" si="7"/>
        <v>20.83475</v>
      </c>
      <c r="R44" s="28">
        <f>($N44*4-(0.243+0.482+0.136))/4</f>
        <v>20.619499999999999</v>
      </c>
      <c r="S44" s="28">
        <f t="shared" ref="S44:U44" si="8">($N44*4-(0.243+0.482+0.136))/4</f>
        <v>20.619499999999999</v>
      </c>
      <c r="T44" s="28">
        <f t="shared" si="8"/>
        <v>20.619499999999999</v>
      </c>
      <c r="U44" s="28">
        <f t="shared" si="8"/>
        <v>20.619499999999999</v>
      </c>
      <c r="V44" s="29" t="s">
        <v>16</v>
      </c>
      <c r="W44" s="31" t="s">
        <v>20</v>
      </c>
    </row>
    <row r="45" spans="1:23" ht="21" customHeight="1" x14ac:dyDescent="0.35">
      <c r="A45" s="1"/>
      <c r="B45" s="30" t="s">
        <v>117</v>
      </c>
      <c r="C45" s="30"/>
      <c r="D45" s="31" t="s">
        <v>121</v>
      </c>
      <c r="E45" s="24" t="s">
        <v>22</v>
      </c>
      <c r="F45" s="25">
        <v>70</v>
      </c>
      <c r="G45" s="25">
        <v>84</v>
      </c>
      <c r="H45" s="25">
        <v>120</v>
      </c>
      <c r="I45" s="25">
        <v>112</v>
      </c>
      <c r="J45" s="25">
        <v>93</v>
      </c>
      <c r="K45" s="26">
        <v>111</v>
      </c>
      <c r="L45" s="26">
        <v>136</v>
      </c>
      <c r="M45" s="27">
        <v>114.4</v>
      </c>
      <c r="N45" s="28">
        <f>(($M45)-(0.297+0.166))/4</f>
        <v>28.484250000000003</v>
      </c>
      <c r="O45" s="28">
        <f t="shared" ref="O45:Q45" si="9">(($M45)-(0.297+0.166))/4</f>
        <v>28.484250000000003</v>
      </c>
      <c r="P45" s="28">
        <f t="shared" si="9"/>
        <v>28.484250000000003</v>
      </c>
      <c r="Q45" s="28">
        <f t="shared" si="9"/>
        <v>28.484250000000003</v>
      </c>
      <c r="R45" s="28">
        <f>(($N45*4)-(0.297+0.166))/4</f>
        <v>28.368500000000004</v>
      </c>
      <c r="S45" s="28">
        <f t="shared" ref="S45:U45" si="10">(($N45*4)-(0.297+0.166))/4</f>
        <v>28.368500000000004</v>
      </c>
      <c r="T45" s="28">
        <f t="shared" si="10"/>
        <v>28.368500000000004</v>
      </c>
      <c r="U45" s="28">
        <f t="shared" si="10"/>
        <v>28.368500000000004</v>
      </c>
      <c r="V45" s="29" t="s">
        <v>16</v>
      </c>
      <c r="W45" s="31" t="s">
        <v>23</v>
      </c>
    </row>
    <row r="46" spans="1:23" ht="21" customHeight="1" x14ac:dyDescent="0.35">
      <c r="A46" s="1"/>
      <c r="B46" s="30" t="s">
        <v>117</v>
      </c>
      <c r="C46" s="30"/>
      <c r="D46" s="31" t="s">
        <v>122</v>
      </c>
      <c r="E46" s="24" t="s">
        <v>25</v>
      </c>
      <c r="F46" s="25">
        <v>94</v>
      </c>
      <c r="G46" s="25">
        <v>96</v>
      </c>
      <c r="H46" s="25">
        <v>93</v>
      </c>
      <c r="I46" s="25">
        <v>99</v>
      </c>
      <c r="J46" s="25">
        <v>100</v>
      </c>
      <c r="K46" s="26">
        <v>107</v>
      </c>
      <c r="L46" s="26">
        <v>120</v>
      </c>
      <c r="M46" s="27">
        <v>103.8</v>
      </c>
      <c r="N46" s="28">
        <f>(($M46)-(0.299))/4</f>
        <v>25.875249999999998</v>
      </c>
      <c r="O46" s="28">
        <f t="shared" ref="O46:Q46" si="11">(($M46)-(0.299))/4</f>
        <v>25.875249999999998</v>
      </c>
      <c r="P46" s="28">
        <f t="shared" si="11"/>
        <v>25.875249999999998</v>
      </c>
      <c r="Q46" s="28">
        <f t="shared" si="11"/>
        <v>25.875249999999998</v>
      </c>
      <c r="R46" s="28">
        <f>(($N46*4)-(0.299))/4</f>
        <v>25.800499999999996</v>
      </c>
      <c r="S46" s="28">
        <f t="shared" ref="S46:U46" si="12">(($N46*4)-(0.299))/4</f>
        <v>25.800499999999996</v>
      </c>
      <c r="T46" s="28">
        <f t="shared" si="12"/>
        <v>25.800499999999996</v>
      </c>
      <c r="U46" s="28">
        <f t="shared" si="12"/>
        <v>25.800499999999996</v>
      </c>
      <c r="V46" s="29" t="s">
        <v>16</v>
      </c>
      <c r="W46" s="31" t="s">
        <v>26</v>
      </c>
    </row>
    <row r="47" spans="1:23" ht="21" customHeight="1" x14ac:dyDescent="0.35">
      <c r="A47" s="1"/>
      <c r="B47" s="30" t="s">
        <v>117</v>
      </c>
      <c r="C47" s="30"/>
      <c r="D47" s="31" t="s">
        <v>123</v>
      </c>
      <c r="E47" s="32" t="s">
        <v>28</v>
      </c>
      <c r="F47" s="25">
        <v>34</v>
      </c>
      <c r="G47" s="25">
        <v>58</v>
      </c>
      <c r="H47" s="25">
        <v>40</v>
      </c>
      <c r="I47" s="25">
        <v>39</v>
      </c>
      <c r="J47" s="25">
        <v>59</v>
      </c>
      <c r="K47" s="26">
        <v>21</v>
      </c>
      <c r="L47" s="26">
        <v>22</v>
      </c>
      <c r="M47" s="27">
        <v>36.200000000000003</v>
      </c>
      <c r="N47" s="28">
        <f>(($M47)-(0.1+0.056))/4</f>
        <v>9.011000000000001</v>
      </c>
      <c r="O47" s="28">
        <f t="shared" ref="O47:Q47" si="13">(($M47)-(0.1+0.056))/4</f>
        <v>9.011000000000001</v>
      </c>
      <c r="P47" s="28">
        <f t="shared" si="13"/>
        <v>9.011000000000001</v>
      </c>
      <c r="Q47" s="28">
        <f t="shared" si="13"/>
        <v>9.011000000000001</v>
      </c>
      <c r="R47" s="28">
        <f>(($N47*4)-(0.1+0.056))/4</f>
        <v>8.9720000000000013</v>
      </c>
      <c r="S47" s="28">
        <f t="shared" ref="S47:U47" si="14">(($N47*4)-(0.1+0.056))/4</f>
        <v>8.9720000000000013</v>
      </c>
      <c r="T47" s="28">
        <f t="shared" si="14"/>
        <v>8.9720000000000013</v>
      </c>
      <c r="U47" s="28">
        <f t="shared" si="14"/>
        <v>8.9720000000000013</v>
      </c>
      <c r="V47" s="29" t="s">
        <v>16</v>
      </c>
      <c r="W47" s="33" t="s">
        <v>23</v>
      </c>
    </row>
    <row r="48" spans="1:23" ht="21" customHeight="1" x14ac:dyDescent="0.35">
      <c r="A48" s="1"/>
      <c r="B48" s="30" t="s">
        <v>117</v>
      </c>
      <c r="C48" s="30" t="s">
        <v>124</v>
      </c>
      <c r="D48" s="31" t="s">
        <v>125</v>
      </c>
      <c r="E48" s="32" t="s">
        <v>126</v>
      </c>
      <c r="F48" s="25">
        <v>13</v>
      </c>
      <c r="G48" s="25">
        <v>5</v>
      </c>
      <c r="H48" s="25">
        <v>3</v>
      </c>
      <c r="I48" s="25">
        <v>11</v>
      </c>
      <c r="J48" s="25">
        <v>12</v>
      </c>
      <c r="K48" s="26">
        <v>11</v>
      </c>
      <c r="L48" s="26">
        <v>15</v>
      </c>
      <c r="M48" s="27">
        <v>10.4</v>
      </c>
      <c r="N48" s="28">
        <f>(($M48)-(0.027+0.053+0.015+0))/4</f>
        <v>2.5762499999999999</v>
      </c>
      <c r="O48" s="28">
        <f t="shared" ref="O48:Q48" si="15">(($M48)-(0.027+0.053+0.015+0))/4</f>
        <v>2.5762499999999999</v>
      </c>
      <c r="P48" s="28">
        <f t="shared" si="15"/>
        <v>2.5762499999999999</v>
      </c>
      <c r="Q48" s="28">
        <f t="shared" si="15"/>
        <v>2.5762499999999999</v>
      </c>
      <c r="R48" s="28">
        <f>(($N48*4)-(0.027+0.053+0.015+0))/4</f>
        <v>2.5524999999999998</v>
      </c>
      <c r="S48" s="28">
        <f t="shared" ref="S48:U48" si="16">(($N48*4)-(0.027+0.053+0.015+0))/4</f>
        <v>2.5524999999999998</v>
      </c>
      <c r="T48" s="28">
        <f t="shared" si="16"/>
        <v>2.5524999999999998</v>
      </c>
      <c r="U48" s="28">
        <f t="shared" si="16"/>
        <v>2.5524999999999998</v>
      </c>
      <c r="V48" s="29" t="s">
        <v>16</v>
      </c>
      <c r="W48" s="24" t="s">
        <v>127</v>
      </c>
    </row>
    <row r="49" spans="1:23" ht="21" customHeight="1" x14ac:dyDescent="0.35">
      <c r="A49" s="1"/>
      <c r="B49" s="30" t="s">
        <v>117</v>
      </c>
      <c r="C49" s="30"/>
      <c r="D49" s="31" t="s">
        <v>128</v>
      </c>
      <c r="E49" s="32" t="s">
        <v>129</v>
      </c>
      <c r="F49" s="25">
        <v>35</v>
      </c>
      <c r="G49" s="25">
        <v>87</v>
      </c>
      <c r="H49" s="25">
        <v>71</v>
      </c>
      <c r="I49" s="25">
        <v>49</v>
      </c>
      <c r="J49" s="25">
        <v>56</v>
      </c>
      <c r="K49" s="26">
        <v>32</v>
      </c>
      <c r="L49" s="26">
        <v>61</v>
      </c>
      <c r="M49" s="27">
        <v>53.8</v>
      </c>
      <c r="N49" s="28">
        <f>(($M49)-(0.13+0.259+0.073+0))/4</f>
        <v>13.334499999999998</v>
      </c>
      <c r="O49" s="28">
        <f t="shared" ref="O49:Q49" si="17">(($M49)-(0.13+0.259+0.073+0))/4</f>
        <v>13.334499999999998</v>
      </c>
      <c r="P49" s="28">
        <f t="shared" si="17"/>
        <v>13.334499999999998</v>
      </c>
      <c r="Q49" s="28">
        <f t="shared" si="17"/>
        <v>13.334499999999998</v>
      </c>
      <c r="R49" s="28">
        <f>(($N49*4)-(0.13+0.259+0.073+0))/4</f>
        <v>13.218999999999998</v>
      </c>
      <c r="S49" s="28">
        <f t="shared" ref="S49:U49" si="18">(($N49*4)-(0.13+0.259+0.073+0))/4</f>
        <v>13.218999999999998</v>
      </c>
      <c r="T49" s="28">
        <f t="shared" si="18"/>
        <v>13.218999999999998</v>
      </c>
      <c r="U49" s="28">
        <f t="shared" si="18"/>
        <v>13.218999999999998</v>
      </c>
      <c r="V49" s="29" t="s">
        <v>16</v>
      </c>
      <c r="W49" s="24" t="s">
        <v>127</v>
      </c>
    </row>
    <row r="50" spans="1:23" ht="21" customHeight="1" x14ac:dyDescent="0.35">
      <c r="A50" s="1"/>
      <c r="B50" s="30" t="s">
        <v>117</v>
      </c>
      <c r="C50" s="30"/>
      <c r="D50" s="31" t="s">
        <v>130</v>
      </c>
      <c r="E50" s="24" t="s">
        <v>131</v>
      </c>
      <c r="F50" s="25">
        <v>67</v>
      </c>
      <c r="G50" s="25">
        <v>109</v>
      </c>
      <c r="H50" s="25">
        <v>57</v>
      </c>
      <c r="I50" s="25">
        <v>55</v>
      </c>
      <c r="J50" s="25">
        <v>66</v>
      </c>
      <c r="K50" s="26">
        <v>82</v>
      </c>
      <c r="L50" s="26">
        <v>62</v>
      </c>
      <c r="M50" s="27">
        <v>64.400000000000006</v>
      </c>
      <c r="N50" s="28">
        <f>(($M50)-(0.221+0.439+0.124+0))/4</f>
        <v>15.904000000000002</v>
      </c>
      <c r="O50" s="28">
        <f t="shared" ref="O50:Q50" si="19">(($M50)-(0.221+0.439+0.124+0))/4</f>
        <v>15.904000000000002</v>
      </c>
      <c r="P50" s="28">
        <f t="shared" si="19"/>
        <v>15.904000000000002</v>
      </c>
      <c r="Q50" s="28">
        <f t="shared" si="19"/>
        <v>15.904000000000002</v>
      </c>
      <c r="R50" s="28">
        <f>(($N50*4)-(0.221+0.439+0.124+0))/4</f>
        <v>15.708000000000002</v>
      </c>
      <c r="S50" s="28">
        <f t="shared" ref="S50:U50" si="20">(($N50*4)-(0.221+0.439+0.124+0))/4</f>
        <v>15.708000000000002</v>
      </c>
      <c r="T50" s="28">
        <f t="shared" si="20"/>
        <v>15.708000000000002</v>
      </c>
      <c r="U50" s="28">
        <f t="shared" si="20"/>
        <v>15.708000000000002</v>
      </c>
      <c r="V50" s="29" t="s">
        <v>16</v>
      </c>
      <c r="W50" s="24" t="s">
        <v>127</v>
      </c>
    </row>
    <row r="51" spans="1:23" ht="21" customHeight="1" x14ac:dyDescent="0.35">
      <c r="A51" s="1"/>
      <c r="B51" s="30" t="s">
        <v>117</v>
      </c>
      <c r="C51" s="30"/>
      <c r="D51" s="31" t="s">
        <v>132</v>
      </c>
      <c r="E51" s="24" t="s">
        <v>42</v>
      </c>
      <c r="F51" s="25">
        <v>22</v>
      </c>
      <c r="G51" s="25">
        <v>28</v>
      </c>
      <c r="H51" s="25">
        <v>26</v>
      </c>
      <c r="I51" s="25">
        <v>20</v>
      </c>
      <c r="J51" s="25">
        <v>28</v>
      </c>
      <c r="K51" s="26">
        <v>23</v>
      </c>
      <c r="L51" s="26">
        <v>38</v>
      </c>
      <c r="M51" s="27">
        <v>27</v>
      </c>
      <c r="N51" s="28">
        <f>(($M51)-(0.077+0.153+0.043+0))/4</f>
        <v>6.6817500000000001</v>
      </c>
      <c r="O51" s="28">
        <f t="shared" ref="O51:Q51" si="21">(($M51)-(0.077+0.153+0.043+0))/4</f>
        <v>6.6817500000000001</v>
      </c>
      <c r="P51" s="28">
        <f t="shared" si="21"/>
        <v>6.6817500000000001</v>
      </c>
      <c r="Q51" s="28">
        <f t="shared" si="21"/>
        <v>6.6817500000000001</v>
      </c>
      <c r="R51" s="28">
        <f>(($N51*4)-(0.077+0.153+0.043+0))/4</f>
        <v>6.6135000000000002</v>
      </c>
      <c r="S51" s="28">
        <f t="shared" ref="S51:U51" si="22">(($N51*4)-(0.077+0.153+0.043+0))/4</f>
        <v>6.6135000000000002</v>
      </c>
      <c r="T51" s="28">
        <f t="shared" si="22"/>
        <v>6.6135000000000002</v>
      </c>
      <c r="U51" s="28">
        <f t="shared" si="22"/>
        <v>6.6135000000000002</v>
      </c>
      <c r="V51" s="29" t="s">
        <v>16</v>
      </c>
      <c r="W51" s="24" t="s">
        <v>127</v>
      </c>
    </row>
    <row r="52" spans="1:23" ht="21" customHeight="1" x14ac:dyDescent="0.35">
      <c r="A52" s="1"/>
      <c r="B52" s="30" t="s">
        <v>117</v>
      </c>
      <c r="C52" s="30"/>
      <c r="D52" s="31" t="s">
        <v>133</v>
      </c>
      <c r="E52" s="24" t="s">
        <v>134</v>
      </c>
      <c r="F52" s="25">
        <v>8</v>
      </c>
      <c r="G52" s="25">
        <v>15</v>
      </c>
      <c r="H52" s="25">
        <v>10</v>
      </c>
      <c r="I52" s="25">
        <v>19</v>
      </c>
      <c r="J52" s="25">
        <v>15</v>
      </c>
      <c r="K52" s="26">
        <v>17</v>
      </c>
      <c r="L52" s="26">
        <v>12</v>
      </c>
      <c r="M52" s="27">
        <v>14.6</v>
      </c>
      <c r="N52" s="28">
        <f>(($M52)-(0.042+0.083+0.023+0))/4</f>
        <v>3.613</v>
      </c>
      <c r="O52" s="28">
        <f t="shared" ref="O52:Q52" si="23">(($M52)-(0.042+0.083+0.023+0))/4</f>
        <v>3.613</v>
      </c>
      <c r="P52" s="28">
        <f t="shared" si="23"/>
        <v>3.613</v>
      </c>
      <c r="Q52" s="28">
        <f t="shared" si="23"/>
        <v>3.613</v>
      </c>
      <c r="R52" s="28">
        <f>(($N52*4)-(0.042+0.083+0.023+0))/4</f>
        <v>3.5760000000000001</v>
      </c>
      <c r="S52" s="28">
        <f t="shared" ref="S52:U52" si="24">(($N52*4)-(0.042+0.083+0.023+0))/4</f>
        <v>3.5760000000000001</v>
      </c>
      <c r="T52" s="28">
        <f t="shared" si="24"/>
        <v>3.5760000000000001</v>
      </c>
      <c r="U52" s="28">
        <f t="shared" si="24"/>
        <v>3.5760000000000001</v>
      </c>
      <c r="V52" s="29" t="s">
        <v>16</v>
      </c>
      <c r="W52" s="24" t="s">
        <v>127</v>
      </c>
    </row>
    <row r="53" spans="1:23" ht="21" customHeight="1" x14ac:dyDescent="0.35">
      <c r="A53" s="1"/>
      <c r="B53" s="30" t="s">
        <v>117</v>
      </c>
      <c r="C53" s="30"/>
      <c r="D53" s="31" t="s">
        <v>135</v>
      </c>
      <c r="E53" s="24" t="s">
        <v>136</v>
      </c>
      <c r="F53" s="25">
        <v>20</v>
      </c>
      <c r="G53" s="25">
        <v>32</v>
      </c>
      <c r="H53" s="25">
        <v>62</v>
      </c>
      <c r="I53" s="25">
        <v>23</v>
      </c>
      <c r="J53" s="25">
        <v>67</v>
      </c>
      <c r="K53" s="26">
        <v>31</v>
      </c>
      <c r="L53" s="26">
        <v>46</v>
      </c>
      <c r="M53" s="27">
        <v>45.8</v>
      </c>
      <c r="N53" s="28">
        <f>(($M53)-(0.114+0.227+0.064+0))/4</f>
        <v>11.348749999999999</v>
      </c>
      <c r="O53" s="28">
        <f t="shared" ref="O53:Q53" si="25">(($M53)-(0.114+0.227+0.064+0))/4</f>
        <v>11.348749999999999</v>
      </c>
      <c r="P53" s="28">
        <f t="shared" si="25"/>
        <v>11.348749999999999</v>
      </c>
      <c r="Q53" s="28">
        <f t="shared" si="25"/>
        <v>11.348749999999999</v>
      </c>
      <c r="R53" s="28">
        <f>((N53*4)-(0.114+0.227+0.064+0))/4</f>
        <v>11.247499999999999</v>
      </c>
      <c r="S53" s="28">
        <f t="shared" ref="S53:U53" si="26">((O53*4)-(0.114+0.227+0.064+0))/4</f>
        <v>11.247499999999999</v>
      </c>
      <c r="T53" s="28">
        <f t="shared" si="26"/>
        <v>11.247499999999999</v>
      </c>
      <c r="U53" s="28">
        <f t="shared" si="26"/>
        <v>11.247499999999999</v>
      </c>
      <c r="V53" s="29" t="s">
        <v>16</v>
      </c>
      <c r="W53" s="24" t="s">
        <v>127</v>
      </c>
    </row>
    <row r="54" spans="1:23" ht="21" customHeight="1" x14ac:dyDescent="0.35">
      <c r="A54" s="1"/>
      <c r="B54" s="30" t="s">
        <v>117</v>
      </c>
      <c r="C54" s="30"/>
      <c r="D54" s="31" t="s">
        <v>137</v>
      </c>
      <c r="E54" s="24" t="s">
        <v>138</v>
      </c>
      <c r="F54" s="25">
        <v>2</v>
      </c>
      <c r="G54" s="25">
        <v>7</v>
      </c>
      <c r="H54" s="25">
        <v>7</v>
      </c>
      <c r="I54" s="25">
        <v>9</v>
      </c>
      <c r="J54" s="25">
        <v>10</v>
      </c>
      <c r="K54" s="26">
        <v>4</v>
      </c>
      <c r="L54" s="26">
        <v>11</v>
      </c>
      <c r="M54" s="27">
        <v>8.1999999999999993</v>
      </c>
      <c r="N54" s="28">
        <f>(($M54)-(0.021+0.042+0.012+0))/4</f>
        <v>2.03125</v>
      </c>
      <c r="O54" s="28">
        <f t="shared" ref="O54:Q54" si="27">(($M54)-(0.021+0.042+0.012+0))/4</f>
        <v>2.03125</v>
      </c>
      <c r="P54" s="28">
        <f t="shared" si="27"/>
        <v>2.03125</v>
      </c>
      <c r="Q54" s="28">
        <f t="shared" si="27"/>
        <v>2.03125</v>
      </c>
      <c r="R54" s="28">
        <f>((N54*4)-(0.021+0.042+0.012+0))/4</f>
        <v>2.0125000000000002</v>
      </c>
      <c r="S54" s="28">
        <f t="shared" ref="S54:U54" si="28">((O54*4)-(0.021+0.042+0.012+0))/4</f>
        <v>2.0125000000000002</v>
      </c>
      <c r="T54" s="28">
        <f t="shared" si="28"/>
        <v>2.0125000000000002</v>
      </c>
      <c r="U54" s="28">
        <f t="shared" si="28"/>
        <v>2.0125000000000002</v>
      </c>
      <c r="V54" s="29" t="s">
        <v>16</v>
      </c>
      <c r="W54" s="24" t="s">
        <v>127</v>
      </c>
    </row>
    <row r="55" spans="1:23" ht="21" customHeight="1" x14ac:dyDescent="0.35">
      <c r="A55" s="1"/>
      <c r="B55" s="30" t="s">
        <v>117</v>
      </c>
      <c r="C55" s="30"/>
      <c r="D55" s="31" t="s">
        <v>139</v>
      </c>
      <c r="E55" s="24" t="s">
        <v>37</v>
      </c>
      <c r="F55" s="25">
        <v>4</v>
      </c>
      <c r="G55" s="25">
        <v>14</v>
      </c>
      <c r="H55" s="25">
        <v>20</v>
      </c>
      <c r="I55" s="25">
        <v>30</v>
      </c>
      <c r="J55" s="25">
        <v>33</v>
      </c>
      <c r="K55" s="26">
        <v>29</v>
      </c>
      <c r="L55" s="26">
        <v>43</v>
      </c>
      <c r="M55" s="27">
        <v>31</v>
      </c>
      <c r="N55" s="28">
        <f>(($M55)-(0.063+0.124+0.035+0))/4</f>
        <v>7.6944999999999997</v>
      </c>
      <c r="O55" s="28">
        <f t="shared" ref="O55:Q55" si="29">(($M55)-(0.063+0.124+0.035+0))/4</f>
        <v>7.6944999999999997</v>
      </c>
      <c r="P55" s="28">
        <f t="shared" si="29"/>
        <v>7.6944999999999997</v>
      </c>
      <c r="Q55" s="28">
        <f t="shared" si="29"/>
        <v>7.6944999999999997</v>
      </c>
      <c r="R55" s="28">
        <f>(($N55*4)-(0.063+0.124+0.035+0))/4</f>
        <v>7.6389999999999993</v>
      </c>
      <c r="S55" s="28">
        <f t="shared" ref="S55:U55" si="30">(($N55*4)-(0.063+0.124+0.035+0))/4</f>
        <v>7.6389999999999993</v>
      </c>
      <c r="T55" s="28">
        <f t="shared" si="30"/>
        <v>7.6389999999999993</v>
      </c>
      <c r="U55" s="28">
        <f t="shared" si="30"/>
        <v>7.6389999999999993</v>
      </c>
      <c r="V55" s="29" t="s">
        <v>16</v>
      </c>
      <c r="W55" s="24" t="s">
        <v>127</v>
      </c>
    </row>
    <row r="56" spans="1:23" ht="21" customHeight="1" x14ac:dyDescent="0.35">
      <c r="A56" s="1"/>
      <c r="B56" s="30" t="s">
        <v>117</v>
      </c>
      <c r="C56" s="30"/>
      <c r="D56" s="23" t="s">
        <v>140</v>
      </c>
      <c r="E56" s="24" t="s">
        <v>141</v>
      </c>
      <c r="F56" s="25">
        <v>0</v>
      </c>
      <c r="G56" s="25">
        <v>0</v>
      </c>
      <c r="H56" s="25">
        <v>1</v>
      </c>
      <c r="I56" s="25">
        <v>1</v>
      </c>
      <c r="J56" s="25">
        <v>0</v>
      </c>
      <c r="K56" s="26">
        <v>1</v>
      </c>
      <c r="L56" s="26">
        <v>3</v>
      </c>
      <c r="M56" s="27">
        <v>1.2</v>
      </c>
      <c r="N56" s="28">
        <f>(($M56)-(0.001+0.002+0.001+0))/4</f>
        <v>0.29899999999999999</v>
      </c>
      <c r="O56" s="28">
        <f t="shared" ref="O56:Q56" si="31">(($M56)-(0.001+0.002+0.001+0))/4</f>
        <v>0.29899999999999999</v>
      </c>
      <c r="P56" s="28">
        <f t="shared" si="31"/>
        <v>0.29899999999999999</v>
      </c>
      <c r="Q56" s="28">
        <f t="shared" si="31"/>
        <v>0.29899999999999999</v>
      </c>
      <c r="R56" s="28">
        <f>(($N56*4)-(0.001+0.002+0.001+0))/4</f>
        <v>0.29799999999999999</v>
      </c>
      <c r="S56" s="28">
        <f t="shared" ref="S56:U56" si="32">(($N56*4)-(0.001+0.002+0.001+0))/4</f>
        <v>0.29799999999999999</v>
      </c>
      <c r="T56" s="28">
        <f t="shared" si="32"/>
        <v>0.29799999999999999</v>
      </c>
      <c r="U56" s="28">
        <f t="shared" si="32"/>
        <v>0.29799999999999999</v>
      </c>
      <c r="V56" s="29" t="s">
        <v>16</v>
      </c>
      <c r="W56" s="24" t="s">
        <v>127</v>
      </c>
    </row>
    <row r="57" spans="1:23" ht="21" customHeight="1" x14ac:dyDescent="0.35">
      <c r="A57" s="1"/>
      <c r="B57" s="30" t="s">
        <v>117</v>
      </c>
      <c r="C57" s="30"/>
      <c r="D57" s="31" t="s">
        <v>142</v>
      </c>
      <c r="E57" s="24" t="s">
        <v>143</v>
      </c>
      <c r="F57" s="25">
        <v>4</v>
      </c>
      <c r="G57" s="25">
        <v>0</v>
      </c>
      <c r="H57" s="25">
        <v>0</v>
      </c>
      <c r="I57" s="25">
        <v>1</v>
      </c>
      <c r="J57" s="25">
        <v>2</v>
      </c>
      <c r="K57" s="26">
        <v>5</v>
      </c>
      <c r="L57" s="26">
        <v>1</v>
      </c>
      <c r="M57" s="27">
        <v>1.8</v>
      </c>
      <c r="N57" s="28">
        <f>(($M57)-(0.002+0.005+0.001+0))/4</f>
        <v>0.44800000000000001</v>
      </c>
      <c r="O57" s="28">
        <f t="shared" ref="O57:Q57" si="33">(($M57)-(0.002+0.005+0.001+0))/4</f>
        <v>0.44800000000000001</v>
      </c>
      <c r="P57" s="28">
        <f t="shared" si="33"/>
        <v>0.44800000000000001</v>
      </c>
      <c r="Q57" s="28">
        <f t="shared" si="33"/>
        <v>0.44800000000000001</v>
      </c>
      <c r="R57" s="28">
        <f>(($N57*4)-(0.002+0.005+0.001+0))/4</f>
        <v>0.44600000000000001</v>
      </c>
      <c r="S57" s="28">
        <f t="shared" ref="S57:U57" si="34">(($N57*4)-(0.002+0.005+0.001+0))/4</f>
        <v>0.44600000000000001</v>
      </c>
      <c r="T57" s="28">
        <f t="shared" si="34"/>
        <v>0.44600000000000001</v>
      </c>
      <c r="U57" s="28">
        <f t="shared" si="34"/>
        <v>0.44600000000000001</v>
      </c>
      <c r="V57" s="29" t="s">
        <v>16</v>
      </c>
      <c r="W57" s="24" t="s">
        <v>127</v>
      </c>
    </row>
    <row r="58" spans="1:23" ht="21" customHeight="1" x14ac:dyDescent="0.35">
      <c r="A58" s="1"/>
      <c r="B58" s="30" t="s">
        <v>117</v>
      </c>
      <c r="C58" s="30"/>
      <c r="D58" s="31" t="s">
        <v>144</v>
      </c>
      <c r="E58" s="24" t="s">
        <v>145</v>
      </c>
      <c r="F58" s="25">
        <v>2</v>
      </c>
      <c r="G58" s="25">
        <v>3</v>
      </c>
      <c r="H58" s="25">
        <v>1</v>
      </c>
      <c r="I58" s="25">
        <v>2</v>
      </c>
      <c r="J58" s="25">
        <v>1</v>
      </c>
      <c r="K58" s="26">
        <v>1</v>
      </c>
      <c r="L58" s="26">
        <v>2</v>
      </c>
      <c r="M58" s="27">
        <v>1.4</v>
      </c>
      <c r="N58" s="28">
        <f>(($M58)-(0.006+0.011+0.003+0))/4</f>
        <v>0.34499999999999997</v>
      </c>
      <c r="O58" s="28">
        <f t="shared" ref="O58:Q58" si="35">(($M58)-(0.006+0.011+0.003+0))/4</f>
        <v>0.34499999999999997</v>
      </c>
      <c r="P58" s="28">
        <f t="shared" si="35"/>
        <v>0.34499999999999997</v>
      </c>
      <c r="Q58" s="28">
        <f t="shared" si="35"/>
        <v>0.34499999999999997</v>
      </c>
      <c r="R58" s="28">
        <f>(($N58*4)-(0.006+0.011+0.003+0))/4</f>
        <v>0.33999999999999997</v>
      </c>
      <c r="S58" s="28">
        <f t="shared" ref="S58:U58" si="36">(($N58*4)-(0.006+0.011+0.003+0))/4</f>
        <v>0.33999999999999997</v>
      </c>
      <c r="T58" s="28">
        <f t="shared" si="36"/>
        <v>0.33999999999999997</v>
      </c>
      <c r="U58" s="28">
        <f t="shared" si="36"/>
        <v>0.33999999999999997</v>
      </c>
      <c r="V58" s="29" t="s">
        <v>16</v>
      </c>
      <c r="W58" s="24" t="s">
        <v>127</v>
      </c>
    </row>
    <row r="59" spans="1:23" ht="21" customHeight="1" x14ac:dyDescent="0.35">
      <c r="A59" s="1"/>
      <c r="B59" s="30" t="s">
        <v>117</v>
      </c>
      <c r="C59" s="30"/>
      <c r="D59" s="31" t="s">
        <v>146</v>
      </c>
      <c r="E59" s="24" t="s">
        <v>147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6">
        <v>0</v>
      </c>
      <c r="L59" s="26">
        <v>0</v>
      </c>
      <c r="M59" s="27">
        <v>0</v>
      </c>
      <c r="N59" s="28">
        <f>(($M59)-(0))/4</f>
        <v>0</v>
      </c>
      <c r="O59" s="28">
        <f t="shared" ref="O59:Q59" si="37">(($M59)-(0))/4</f>
        <v>0</v>
      </c>
      <c r="P59" s="28">
        <f t="shared" si="37"/>
        <v>0</v>
      </c>
      <c r="Q59" s="28">
        <f t="shared" si="37"/>
        <v>0</v>
      </c>
      <c r="R59" s="28">
        <f>(($N59*4)-(0))/4</f>
        <v>0</v>
      </c>
      <c r="S59" s="28">
        <f t="shared" ref="S59:U59" si="38">(($N59*4)-(0))/4</f>
        <v>0</v>
      </c>
      <c r="T59" s="28">
        <f t="shared" si="38"/>
        <v>0</v>
      </c>
      <c r="U59" s="28">
        <f t="shared" si="38"/>
        <v>0</v>
      </c>
      <c r="V59" s="29" t="s">
        <v>16</v>
      </c>
      <c r="W59" s="24" t="s">
        <v>127</v>
      </c>
    </row>
    <row r="60" spans="1:23" ht="21" customHeight="1" x14ac:dyDescent="0.35">
      <c r="A60" s="1"/>
      <c r="B60" s="30" t="s">
        <v>117</v>
      </c>
      <c r="C60" s="30"/>
      <c r="D60" s="31" t="s">
        <v>148</v>
      </c>
      <c r="E60" s="24" t="s">
        <v>149</v>
      </c>
      <c r="F60" s="25">
        <v>54</v>
      </c>
      <c r="G60" s="25">
        <v>57</v>
      </c>
      <c r="H60" s="25">
        <v>40</v>
      </c>
      <c r="I60" s="25">
        <v>50</v>
      </c>
      <c r="J60" s="25">
        <v>64</v>
      </c>
      <c r="K60" s="26">
        <v>65</v>
      </c>
      <c r="L60" s="26">
        <v>71</v>
      </c>
      <c r="M60" s="27">
        <v>58</v>
      </c>
      <c r="N60" s="28">
        <f>(($M60)-(0.154+0.306+0.086+0+0.194+0.143))/4</f>
        <v>14.279249999999999</v>
      </c>
      <c r="O60" s="28">
        <f t="shared" ref="O60:Q60" si="39">(($M60)-(0.154+0.306+0.086+0+0.194+0.143))/4</f>
        <v>14.279249999999999</v>
      </c>
      <c r="P60" s="28">
        <f t="shared" si="39"/>
        <v>14.279249999999999</v>
      </c>
      <c r="Q60" s="28">
        <f t="shared" si="39"/>
        <v>14.279249999999999</v>
      </c>
      <c r="R60" s="28">
        <f>(($N60*4)-(0.154+0.306+0.086+0+0.194+0.143))/4</f>
        <v>14.058499999999999</v>
      </c>
      <c r="S60" s="28">
        <f t="shared" ref="S60:U60" si="40">(($N60*4)-(0.154+0.306+0.086+0+0.194+0.143))/4</f>
        <v>14.058499999999999</v>
      </c>
      <c r="T60" s="28">
        <f t="shared" si="40"/>
        <v>14.058499999999999</v>
      </c>
      <c r="U60" s="28">
        <f t="shared" si="40"/>
        <v>14.058499999999999</v>
      </c>
      <c r="V60" s="29" t="s">
        <v>16</v>
      </c>
      <c r="W60" s="38" t="s">
        <v>150</v>
      </c>
    </row>
    <row r="61" spans="1:23" ht="21" customHeight="1" x14ac:dyDescent="0.35">
      <c r="A61" s="1"/>
      <c r="B61" s="30" t="s">
        <v>117</v>
      </c>
      <c r="C61" s="30"/>
      <c r="D61" s="31" t="s">
        <v>151</v>
      </c>
      <c r="E61" s="24" t="s">
        <v>152</v>
      </c>
      <c r="F61" s="25">
        <v>72</v>
      </c>
      <c r="G61" s="25">
        <v>52</v>
      </c>
      <c r="H61" s="25">
        <v>38</v>
      </c>
      <c r="I61" s="25">
        <v>63</v>
      </c>
      <c r="J61" s="25">
        <v>46</v>
      </c>
      <c r="K61" s="26">
        <v>55</v>
      </c>
      <c r="L61" s="26">
        <v>73</v>
      </c>
      <c r="M61" s="27">
        <v>55</v>
      </c>
      <c r="N61" s="28">
        <f>(($M61)-(0.167+0.331+0.094+0))/4</f>
        <v>13.602</v>
      </c>
      <c r="O61" s="28">
        <f t="shared" ref="O61:Q61" si="41">(($M61)-(0.167+0.331+0.094+0))/4</f>
        <v>13.602</v>
      </c>
      <c r="P61" s="28">
        <f t="shared" si="41"/>
        <v>13.602</v>
      </c>
      <c r="Q61" s="28">
        <f t="shared" si="41"/>
        <v>13.602</v>
      </c>
      <c r="R61" s="28">
        <f>(($N61*4)-(0.167+0.331+0.094+0))/4</f>
        <v>13.454000000000001</v>
      </c>
      <c r="S61" s="28">
        <f t="shared" ref="S61:U61" si="42">(($N61*4)-(0.167+0.331+0.094+0))/4</f>
        <v>13.454000000000001</v>
      </c>
      <c r="T61" s="28">
        <f t="shared" si="42"/>
        <v>13.454000000000001</v>
      </c>
      <c r="U61" s="28">
        <f t="shared" si="42"/>
        <v>13.454000000000001</v>
      </c>
      <c r="V61" s="29" t="s">
        <v>16</v>
      </c>
      <c r="W61" s="24" t="s">
        <v>127</v>
      </c>
    </row>
    <row r="62" spans="1:23" ht="21" customHeight="1" x14ac:dyDescent="0.35">
      <c r="A62" s="1"/>
      <c r="B62" s="30" t="s">
        <v>117</v>
      </c>
      <c r="C62" s="30"/>
      <c r="D62" s="31" t="s">
        <v>153</v>
      </c>
      <c r="E62" s="24" t="s">
        <v>49</v>
      </c>
      <c r="F62" s="26">
        <v>2</v>
      </c>
      <c r="G62" s="26">
        <v>12</v>
      </c>
      <c r="H62" s="26">
        <v>13</v>
      </c>
      <c r="I62" s="26">
        <v>19</v>
      </c>
      <c r="J62" s="26">
        <v>25</v>
      </c>
      <c r="K62" s="26">
        <v>4</v>
      </c>
      <c r="L62" s="26">
        <v>74</v>
      </c>
      <c r="M62" s="27">
        <v>27</v>
      </c>
      <c r="N62" s="28">
        <f>(($M62)-(0.043+0.085+0.024+0))/4</f>
        <v>6.7119999999999997</v>
      </c>
      <c r="O62" s="28">
        <f t="shared" ref="O62:Q62" si="43">(($M62)-(0.043+0.085+0.024+0))/4</f>
        <v>6.7119999999999997</v>
      </c>
      <c r="P62" s="28">
        <f t="shared" si="43"/>
        <v>6.7119999999999997</v>
      </c>
      <c r="Q62" s="28">
        <f t="shared" si="43"/>
        <v>6.7119999999999997</v>
      </c>
      <c r="R62" s="28">
        <f>(($N62*4)-(0.043+0.085+0.024+0))/4</f>
        <v>6.6739999999999995</v>
      </c>
      <c r="S62" s="28">
        <f t="shared" ref="S62:U62" si="44">(($N62*4)-(0.043+0.085+0.024+0))/4</f>
        <v>6.6739999999999995</v>
      </c>
      <c r="T62" s="28">
        <f t="shared" si="44"/>
        <v>6.6739999999999995</v>
      </c>
      <c r="U62" s="28">
        <f t="shared" si="44"/>
        <v>6.6739999999999995</v>
      </c>
      <c r="V62" s="2" t="s">
        <v>16</v>
      </c>
      <c r="W62" s="24" t="s">
        <v>127</v>
      </c>
    </row>
    <row r="63" spans="1:23" ht="21" customHeight="1" x14ac:dyDescent="0.35">
      <c r="A63" s="1"/>
      <c r="B63" s="30" t="s">
        <v>117</v>
      </c>
      <c r="C63" s="30" t="s">
        <v>154</v>
      </c>
      <c r="D63" s="31" t="s">
        <v>155</v>
      </c>
      <c r="E63" s="24" t="s">
        <v>52</v>
      </c>
      <c r="F63" s="25">
        <v>3</v>
      </c>
      <c r="G63" s="25">
        <v>6</v>
      </c>
      <c r="H63" s="25">
        <v>8</v>
      </c>
      <c r="I63" s="25">
        <v>2</v>
      </c>
      <c r="J63" s="25">
        <v>4</v>
      </c>
      <c r="K63" s="26">
        <v>2</v>
      </c>
      <c r="L63" s="26">
        <v>0</v>
      </c>
      <c r="M63" s="27">
        <v>3.2</v>
      </c>
      <c r="N63" s="28">
        <f>(($M63)-(0.014+0.028+0.008))/4</f>
        <v>0.78750000000000009</v>
      </c>
      <c r="O63" s="28">
        <f t="shared" ref="O63:Q63" si="45">(($M63)-(0.014+0.028+0.008))/4</f>
        <v>0.78750000000000009</v>
      </c>
      <c r="P63" s="28">
        <f t="shared" si="45"/>
        <v>0.78750000000000009</v>
      </c>
      <c r="Q63" s="28">
        <f t="shared" si="45"/>
        <v>0.78750000000000009</v>
      </c>
      <c r="R63" s="28">
        <f>(($N63*4)-(0.014+0.028+0.008))/4</f>
        <v>0.77500000000000013</v>
      </c>
      <c r="S63" s="28">
        <f t="shared" ref="S63:U63" si="46">(($N63*4)-(0.014+0.028+0.008))/4</f>
        <v>0.77500000000000013</v>
      </c>
      <c r="T63" s="28">
        <f t="shared" si="46"/>
        <v>0.77500000000000013</v>
      </c>
      <c r="U63" s="28">
        <f t="shared" si="46"/>
        <v>0.77500000000000013</v>
      </c>
      <c r="V63" s="29" t="s">
        <v>16</v>
      </c>
      <c r="W63" s="31" t="s">
        <v>156</v>
      </c>
    </row>
    <row r="64" spans="1:23" ht="21" customHeight="1" x14ac:dyDescent="0.35">
      <c r="A64" s="1"/>
      <c r="B64" s="30" t="s">
        <v>117</v>
      </c>
      <c r="C64" s="30" t="s">
        <v>157</v>
      </c>
      <c r="D64" s="31" t="s">
        <v>158</v>
      </c>
      <c r="E64" s="34" t="s">
        <v>55</v>
      </c>
      <c r="F64" s="25">
        <v>1</v>
      </c>
      <c r="G64" s="25">
        <v>0</v>
      </c>
      <c r="H64" s="25">
        <v>0</v>
      </c>
      <c r="I64" s="25">
        <v>0</v>
      </c>
      <c r="J64" s="25">
        <v>2</v>
      </c>
      <c r="K64" s="26">
        <v>0</v>
      </c>
      <c r="L64" s="26">
        <v>5</v>
      </c>
      <c r="M64" s="27">
        <v>1.4</v>
      </c>
      <c r="N64" s="28">
        <f>(($M64)-(0.002+0.001))/4</f>
        <v>0.34925</v>
      </c>
      <c r="O64" s="28">
        <f t="shared" ref="O64:Q64" si="47">(($M64)-(0.002+0.001))/4</f>
        <v>0.34925</v>
      </c>
      <c r="P64" s="28">
        <f t="shared" si="47"/>
        <v>0.34925</v>
      </c>
      <c r="Q64" s="28">
        <f t="shared" si="47"/>
        <v>0.34925</v>
      </c>
      <c r="R64" s="28">
        <f>(($N64*4)-(0.002+0.001))/4</f>
        <v>0.34850000000000003</v>
      </c>
      <c r="S64" s="28">
        <f t="shared" ref="S64:U64" si="48">(($N64*4)-(0.002+0.001))/4</f>
        <v>0.34850000000000003</v>
      </c>
      <c r="T64" s="28">
        <f t="shared" si="48"/>
        <v>0.34850000000000003</v>
      </c>
      <c r="U64" s="28">
        <f t="shared" si="48"/>
        <v>0.34850000000000003</v>
      </c>
      <c r="V64" s="29" t="s">
        <v>16</v>
      </c>
      <c r="W64" s="33" t="s">
        <v>23</v>
      </c>
    </row>
    <row r="65" spans="1:23" ht="21" customHeight="1" x14ac:dyDescent="0.35">
      <c r="A65" s="1"/>
      <c r="B65" s="30" t="s">
        <v>117</v>
      </c>
      <c r="C65" s="30" t="s">
        <v>159</v>
      </c>
      <c r="D65" s="31" t="s">
        <v>160</v>
      </c>
      <c r="E65" s="24" t="s">
        <v>59</v>
      </c>
      <c r="F65" s="25">
        <v>6</v>
      </c>
      <c r="G65" s="25">
        <v>9</v>
      </c>
      <c r="H65" s="25">
        <v>5</v>
      </c>
      <c r="I65" s="25">
        <v>9</v>
      </c>
      <c r="J65" s="25">
        <v>9</v>
      </c>
      <c r="K65" s="26">
        <v>30</v>
      </c>
      <c r="L65" s="26">
        <v>16</v>
      </c>
      <c r="M65" s="27">
        <v>13.8</v>
      </c>
      <c r="N65" s="28">
        <f>$M65/4</f>
        <v>3.45</v>
      </c>
      <c r="O65" s="28">
        <f t="shared" ref="O65:U65" si="49">$M65/4</f>
        <v>3.45</v>
      </c>
      <c r="P65" s="28">
        <f t="shared" si="49"/>
        <v>3.45</v>
      </c>
      <c r="Q65" s="28">
        <f t="shared" si="49"/>
        <v>3.45</v>
      </c>
      <c r="R65" s="28">
        <f t="shared" si="49"/>
        <v>3.45</v>
      </c>
      <c r="S65" s="28">
        <f t="shared" si="49"/>
        <v>3.45</v>
      </c>
      <c r="T65" s="28">
        <f t="shared" si="49"/>
        <v>3.45</v>
      </c>
      <c r="U65" s="28">
        <f t="shared" si="49"/>
        <v>3.45</v>
      </c>
      <c r="V65" s="29" t="s">
        <v>16</v>
      </c>
      <c r="W65" s="33" t="s">
        <v>60</v>
      </c>
    </row>
    <row r="66" spans="1:23" ht="21" customHeight="1" x14ac:dyDescent="0.35">
      <c r="A66" s="1"/>
      <c r="B66" s="30" t="s">
        <v>117</v>
      </c>
      <c r="C66" s="30" t="s">
        <v>161</v>
      </c>
      <c r="D66" s="31" t="s">
        <v>162</v>
      </c>
      <c r="E66" s="24" t="s">
        <v>63</v>
      </c>
      <c r="F66" s="25">
        <v>2</v>
      </c>
      <c r="G66" s="25">
        <v>4</v>
      </c>
      <c r="H66" s="25">
        <v>1</v>
      </c>
      <c r="I66" s="25">
        <v>3</v>
      </c>
      <c r="J66" s="25">
        <v>2</v>
      </c>
      <c r="K66" s="26">
        <v>6</v>
      </c>
      <c r="L66" s="26">
        <v>10</v>
      </c>
      <c r="M66" s="27">
        <v>4.4000000000000004</v>
      </c>
      <c r="N66" s="28">
        <f>(($M66)-(0.002))/4</f>
        <v>1.0995000000000001</v>
      </c>
      <c r="O66" s="28">
        <f t="shared" ref="O66:Q67" si="50">(($M66)-(0.002))/4</f>
        <v>1.0995000000000001</v>
      </c>
      <c r="P66" s="28">
        <f t="shared" si="50"/>
        <v>1.0995000000000001</v>
      </c>
      <c r="Q66" s="28">
        <f t="shared" si="50"/>
        <v>1.0995000000000001</v>
      </c>
      <c r="R66" s="28">
        <f>(($N66*4)-(0.002))/4</f>
        <v>1.0990000000000002</v>
      </c>
      <c r="S66" s="28">
        <f t="shared" ref="S66:U67" si="51">(($N66*4)-(0.002))/4</f>
        <v>1.0990000000000002</v>
      </c>
      <c r="T66" s="28">
        <f t="shared" si="51"/>
        <v>1.0990000000000002</v>
      </c>
      <c r="U66" s="28">
        <f t="shared" si="51"/>
        <v>1.0990000000000002</v>
      </c>
      <c r="V66" s="29" t="s">
        <v>16</v>
      </c>
      <c r="W66" s="33" t="s">
        <v>26</v>
      </c>
    </row>
    <row r="67" spans="1:23" ht="21" customHeight="1" x14ac:dyDescent="0.35">
      <c r="A67" s="1"/>
      <c r="B67" s="30" t="s">
        <v>117</v>
      </c>
      <c r="C67" s="30" t="s">
        <v>163</v>
      </c>
      <c r="D67" s="31" t="s">
        <v>164</v>
      </c>
      <c r="E67" s="24" t="s">
        <v>66</v>
      </c>
      <c r="F67" s="25">
        <v>1</v>
      </c>
      <c r="G67" s="25">
        <v>0</v>
      </c>
      <c r="H67" s="25">
        <v>0</v>
      </c>
      <c r="I67" s="25">
        <v>1</v>
      </c>
      <c r="J67" s="25">
        <v>0</v>
      </c>
      <c r="K67" s="26">
        <v>2</v>
      </c>
      <c r="L67" s="26">
        <v>0</v>
      </c>
      <c r="M67" s="27">
        <v>0.6</v>
      </c>
      <c r="N67" s="28">
        <f>(($M67)-(0.002))/4</f>
        <v>0.14949999999999999</v>
      </c>
      <c r="O67" s="28">
        <f t="shared" si="50"/>
        <v>0.14949999999999999</v>
      </c>
      <c r="P67" s="28">
        <f t="shared" si="50"/>
        <v>0.14949999999999999</v>
      </c>
      <c r="Q67" s="28">
        <f t="shared" si="50"/>
        <v>0.14949999999999999</v>
      </c>
      <c r="R67" s="28">
        <f>(($N67*4)-(0.002))/4</f>
        <v>0.14899999999999999</v>
      </c>
      <c r="S67" s="28">
        <f t="shared" si="51"/>
        <v>0.14899999999999999</v>
      </c>
      <c r="T67" s="28">
        <f t="shared" si="51"/>
        <v>0.14899999999999999</v>
      </c>
      <c r="U67" s="28">
        <f t="shared" si="51"/>
        <v>0.14899999999999999</v>
      </c>
      <c r="V67" s="29" t="s">
        <v>16</v>
      </c>
      <c r="W67" s="33" t="s">
        <v>26</v>
      </c>
    </row>
    <row r="68" spans="1:23" ht="21" customHeight="1" x14ac:dyDescent="0.35">
      <c r="A68" s="1"/>
      <c r="B68" s="30" t="s">
        <v>117</v>
      </c>
      <c r="C68" s="30" t="s">
        <v>165</v>
      </c>
      <c r="D68" s="31" t="s">
        <v>166</v>
      </c>
      <c r="E68" s="24" t="s">
        <v>69</v>
      </c>
      <c r="F68" s="25">
        <v>325</v>
      </c>
      <c r="G68" s="25">
        <v>361</v>
      </c>
      <c r="H68" s="25">
        <v>310</v>
      </c>
      <c r="I68" s="25">
        <v>249</v>
      </c>
      <c r="J68" s="25">
        <v>264</v>
      </c>
      <c r="K68" s="25">
        <v>266</v>
      </c>
      <c r="L68" s="25">
        <v>258</v>
      </c>
      <c r="M68" s="27">
        <v>269.39999999999998</v>
      </c>
      <c r="N68" s="28">
        <f>(($M68)-(1.055+2.093+0.591))/4</f>
        <v>66.41525</v>
      </c>
      <c r="O68" s="28">
        <f t="shared" ref="O68:Q68" si="52">(($M68)-(1.055+2.093+0.591))/4</f>
        <v>66.41525</v>
      </c>
      <c r="P68" s="28">
        <f t="shared" si="52"/>
        <v>66.41525</v>
      </c>
      <c r="Q68" s="28">
        <f t="shared" si="52"/>
        <v>66.41525</v>
      </c>
      <c r="R68" s="28">
        <f>(($N68*4)-(1.055+2.093+0.591))/4</f>
        <v>65.480500000000006</v>
      </c>
      <c r="S68" s="28">
        <f t="shared" ref="S68:U68" si="53">(($N68*4)-(1.055+2.093+0.591))/4</f>
        <v>65.480500000000006</v>
      </c>
      <c r="T68" s="28">
        <f t="shared" si="53"/>
        <v>65.480500000000006</v>
      </c>
      <c r="U68" s="28">
        <f t="shared" si="53"/>
        <v>65.480500000000006</v>
      </c>
      <c r="V68" s="29" t="s">
        <v>16</v>
      </c>
      <c r="W68" s="31" t="s">
        <v>156</v>
      </c>
    </row>
    <row r="69" spans="1:23" ht="21" customHeight="1" x14ac:dyDescent="0.35">
      <c r="A69" s="1" t="s">
        <v>11</v>
      </c>
      <c r="B69" s="30" t="s">
        <v>167</v>
      </c>
      <c r="C69" s="34" t="s">
        <v>168</v>
      </c>
      <c r="D69" s="36" t="s">
        <v>169</v>
      </c>
      <c r="E69" s="24" t="s">
        <v>73</v>
      </c>
      <c r="F69" s="40">
        <v>1</v>
      </c>
      <c r="G69" s="40">
        <v>1</v>
      </c>
      <c r="H69" s="40">
        <v>0</v>
      </c>
      <c r="I69" s="40">
        <v>1</v>
      </c>
      <c r="J69" s="40">
        <v>0</v>
      </c>
      <c r="K69" s="39">
        <v>0</v>
      </c>
      <c r="L69" s="39">
        <v>0</v>
      </c>
      <c r="M69" s="35">
        <v>0.2</v>
      </c>
      <c r="N69" s="28">
        <f>(($M69)-0.003)/4</f>
        <v>4.9250000000000002E-2</v>
      </c>
      <c r="O69" s="28">
        <f t="shared" ref="O69:Q69" si="54">(($M69)-0.003)/4</f>
        <v>4.9250000000000002E-2</v>
      </c>
      <c r="P69" s="28">
        <f t="shared" si="54"/>
        <v>4.9250000000000002E-2</v>
      </c>
      <c r="Q69" s="28">
        <f t="shared" si="54"/>
        <v>4.9250000000000002E-2</v>
      </c>
      <c r="R69" s="28">
        <f>(($N69*4)-0.003)/4</f>
        <v>4.8500000000000001E-2</v>
      </c>
      <c r="S69" s="28">
        <f t="shared" ref="S69:U69" si="55">(($N69*4)-0.003)/4</f>
        <v>4.8500000000000001E-2</v>
      </c>
      <c r="T69" s="28">
        <f t="shared" si="55"/>
        <v>4.8500000000000001E-2</v>
      </c>
      <c r="U69" s="28">
        <f t="shared" si="55"/>
        <v>4.8500000000000001E-2</v>
      </c>
      <c r="V69" s="29" t="s">
        <v>16</v>
      </c>
      <c r="W69" s="33" t="s">
        <v>74</v>
      </c>
    </row>
    <row r="70" spans="1:23" ht="21" customHeight="1" x14ac:dyDescent="0.35">
      <c r="A70" s="1"/>
      <c r="B70" s="30" t="s">
        <v>167</v>
      </c>
      <c r="C70" s="30"/>
      <c r="D70" s="31" t="s">
        <v>170</v>
      </c>
      <c r="E70" s="24" t="s">
        <v>76</v>
      </c>
      <c r="F70" s="40">
        <v>9</v>
      </c>
      <c r="G70" s="40">
        <v>5</v>
      </c>
      <c r="H70" s="40">
        <v>4</v>
      </c>
      <c r="I70" s="40">
        <v>2</v>
      </c>
      <c r="J70" s="40">
        <v>5</v>
      </c>
      <c r="K70" s="39">
        <v>5</v>
      </c>
      <c r="L70" s="39">
        <v>3</v>
      </c>
      <c r="M70" s="27">
        <v>3.8</v>
      </c>
      <c r="N70" s="28">
        <f>(($M70)-0.028)/4</f>
        <v>0.94299999999999995</v>
      </c>
      <c r="O70" s="28">
        <f t="shared" ref="O70:Q70" si="56">(($M70)-0.028)/4</f>
        <v>0.94299999999999995</v>
      </c>
      <c r="P70" s="28">
        <f t="shared" si="56"/>
        <v>0.94299999999999995</v>
      </c>
      <c r="Q70" s="28">
        <f t="shared" si="56"/>
        <v>0.94299999999999995</v>
      </c>
      <c r="R70" s="28">
        <f>(($N70*4)-0.028)/4</f>
        <v>0.93599999999999994</v>
      </c>
      <c r="S70" s="28">
        <f t="shared" ref="S70:U70" si="57">(($N70*4)-0.028)/4</f>
        <v>0.93599999999999994</v>
      </c>
      <c r="T70" s="28">
        <f t="shared" si="57"/>
        <v>0.93599999999999994</v>
      </c>
      <c r="U70" s="28">
        <f t="shared" si="57"/>
        <v>0.93599999999999994</v>
      </c>
      <c r="V70" s="29" t="s">
        <v>16</v>
      </c>
      <c r="W70" s="33" t="s">
        <v>74</v>
      </c>
    </row>
    <row r="71" spans="1:23" ht="21" customHeight="1" x14ac:dyDescent="0.35">
      <c r="A71" s="1"/>
      <c r="B71" s="30" t="s">
        <v>167</v>
      </c>
      <c r="C71" s="30"/>
      <c r="D71" s="31" t="s">
        <v>171</v>
      </c>
      <c r="E71" s="24" t="s">
        <v>78</v>
      </c>
      <c r="F71" s="40">
        <v>17</v>
      </c>
      <c r="G71" s="40">
        <v>24</v>
      </c>
      <c r="H71" s="40">
        <v>22</v>
      </c>
      <c r="I71" s="40">
        <v>25</v>
      </c>
      <c r="J71" s="40">
        <v>16</v>
      </c>
      <c r="K71" s="39">
        <v>23</v>
      </c>
      <c r="L71" s="39">
        <v>21</v>
      </c>
      <c r="M71" s="27">
        <v>21.4</v>
      </c>
      <c r="N71" s="28">
        <f>(($M71)-0.12)/4</f>
        <v>5.3199999999999994</v>
      </c>
      <c r="O71" s="28">
        <f t="shared" ref="O71:Q71" si="58">(($M71)-0.12)/4</f>
        <v>5.3199999999999994</v>
      </c>
      <c r="P71" s="28">
        <f t="shared" si="58"/>
        <v>5.3199999999999994</v>
      </c>
      <c r="Q71" s="28">
        <f t="shared" si="58"/>
        <v>5.3199999999999994</v>
      </c>
      <c r="R71" s="28">
        <f>(($N71*4)-0.12)/4</f>
        <v>5.2899999999999991</v>
      </c>
      <c r="S71" s="28">
        <f t="shared" ref="S71:U71" si="59">(($N71*4)-0.12)/4</f>
        <v>5.2899999999999991</v>
      </c>
      <c r="T71" s="28">
        <f t="shared" si="59"/>
        <v>5.2899999999999991</v>
      </c>
      <c r="U71" s="28">
        <f t="shared" si="59"/>
        <v>5.2899999999999991</v>
      </c>
      <c r="V71" s="29" t="s">
        <v>16</v>
      </c>
      <c r="W71" s="33" t="s">
        <v>74</v>
      </c>
    </row>
    <row r="72" spans="1:23" ht="21" customHeight="1" x14ac:dyDescent="0.35">
      <c r="A72" s="1"/>
      <c r="B72" s="30" t="s">
        <v>167</v>
      </c>
      <c r="C72" s="30"/>
      <c r="D72" s="31" t="s">
        <v>172</v>
      </c>
      <c r="E72" s="24" t="s">
        <v>80</v>
      </c>
      <c r="F72" s="40">
        <v>1</v>
      </c>
      <c r="G72" s="40">
        <v>2</v>
      </c>
      <c r="H72" s="40">
        <v>0</v>
      </c>
      <c r="I72" s="40">
        <v>3</v>
      </c>
      <c r="J72" s="40">
        <v>1</v>
      </c>
      <c r="K72" s="39">
        <v>1</v>
      </c>
      <c r="L72" s="39">
        <v>5</v>
      </c>
      <c r="M72" s="27">
        <v>2</v>
      </c>
      <c r="N72" s="28">
        <f>$M72/4</f>
        <v>0.5</v>
      </c>
      <c r="O72" s="28">
        <f t="shared" ref="O72:Q72" si="60">$M72/4</f>
        <v>0.5</v>
      </c>
      <c r="P72" s="28">
        <f t="shared" si="60"/>
        <v>0.5</v>
      </c>
      <c r="Q72" s="28">
        <f t="shared" si="60"/>
        <v>0.5</v>
      </c>
      <c r="R72" s="28">
        <f>$N72/4</f>
        <v>0.125</v>
      </c>
      <c r="S72" s="28">
        <f t="shared" ref="S72:U72" si="61">$N72/4</f>
        <v>0.125</v>
      </c>
      <c r="T72" s="28">
        <f t="shared" si="61"/>
        <v>0.125</v>
      </c>
      <c r="U72" s="28">
        <f t="shared" si="61"/>
        <v>0.125</v>
      </c>
      <c r="V72" s="29" t="s">
        <v>16</v>
      </c>
      <c r="W72" s="37" t="s">
        <v>60</v>
      </c>
    </row>
    <row r="73" spans="1:23" ht="21" customHeight="1" x14ac:dyDescent="0.35">
      <c r="A73" s="1"/>
      <c r="B73" s="30" t="s">
        <v>167</v>
      </c>
      <c r="C73" s="30"/>
      <c r="D73" s="31" t="s">
        <v>173</v>
      </c>
      <c r="E73" s="32" t="s">
        <v>82</v>
      </c>
      <c r="F73" s="40">
        <v>1</v>
      </c>
      <c r="G73" s="40">
        <v>0</v>
      </c>
      <c r="H73" s="40">
        <v>2</v>
      </c>
      <c r="I73" s="40">
        <v>1</v>
      </c>
      <c r="J73" s="40">
        <v>3</v>
      </c>
      <c r="K73" s="39">
        <v>0</v>
      </c>
      <c r="L73" s="39">
        <v>0</v>
      </c>
      <c r="M73" s="27">
        <v>1.2</v>
      </c>
      <c r="N73" s="28">
        <f>(($M73)-0.008)/4</f>
        <v>0.29799999999999999</v>
      </c>
      <c r="O73" s="28">
        <f t="shared" ref="O73:Q73" si="62">(($M73)-0.008)/4</f>
        <v>0.29799999999999999</v>
      </c>
      <c r="P73" s="28">
        <f t="shared" si="62"/>
        <v>0.29799999999999999</v>
      </c>
      <c r="Q73" s="28">
        <f t="shared" si="62"/>
        <v>0.29799999999999999</v>
      </c>
      <c r="R73" s="28">
        <f>(($N73*4)-0.008)/4</f>
        <v>0.29599999999999999</v>
      </c>
      <c r="S73" s="28">
        <f t="shared" ref="S73:U73" si="63">(($N73*4)-0.008)/4</f>
        <v>0.29599999999999999</v>
      </c>
      <c r="T73" s="28">
        <f t="shared" si="63"/>
        <v>0.29599999999999999</v>
      </c>
      <c r="U73" s="28">
        <f t="shared" si="63"/>
        <v>0.29599999999999999</v>
      </c>
      <c r="V73" s="29" t="s">
        <v>16</v>
      </c>
      <c r="W73" s="33" t="s">
        <v>74</v>
      </c>
    </row>
    <row r="74" spans="1:23" ht="21" customHeight="1" x14ac:dyDescent="0.35">
      <c r="A74" s="1"/>
      <c r="B74" s="30" t="s">
        <v>167</v>
      </c>
      <c r="C74" s="34" t="s">
        <v>174</v>
      </c>
      <c r="D74" s="31" t="s">
        <v>175</v>
      </c>
      <c r="E74" s="32" t="s">
        <v>176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39">
        <v>0</v>
      </c>
      <c r="L74" s="39">
        <v>0</v>
      </c>
      <c r="M74" s="27">
        <v>0</v>
      </c>
      <c r="N74" s="28">
        <f>$M74/4</f>
        <v>0</v>
      </c>
      <c r="O74" s="28">
        <f t="shared" ref="O74:Q74" si="64">$M74/4</f>
        <v>0</v>
      </c>
      <c r="P74" s="28">
        <f t="shared" si="64"/>
        <v>0</v>
      </c>
      <c r="Q74" s="28">
        <f t="shared" si="64"/>
        <v>0</v>
      </c>
      <c r="R74" s="28">
        <f>$N74/4</f>
        <v>0</v>
      </c>
      <c r="S74" s="28">
        <f t="shared" ref="S74:U74" si="65">$N74/4</f>
        <v>0</v>
      </c>
      <c r="T74" s="28">
        <f t="shared" si="65"/>
        <v>0</v>
      </c>
      <c r="U74" s="28">
        <f t="shared" si="65"/>
        <v>0</v>
      </c>
      <c r="V74" s="29" t="s">
        <v>16</v>
      </c>
      <c r="W74" s="33"/>
    </row>
    <row r="75" spans="1:23" ht="21" customHeight="1" x14ac:dyDescent="0.35">
      <c r="A75" s="1"/>
      <c r="B75" s="30" t="s">
        <v>167</v>
      </c>
      <c r="C75" s="30"/>
      <c r="D75" s="31" t="s">
        <v>177</v>
      </c>
      <c r="E75" s="32" t="s">
        <v>178</v>
      </c>
      <c r="F75" s="40">
        <v>2</v>
      </c>
      <c r="G75" s="40">
        <v>6</v>
      </c>
      <c r="H75" s="40">
        <v>6</v>
      </c>
      <c r="I75" s="40">
        <v>2</v>
      </c>
      <c r="J75" s="40">
        <v>0</v>
      </c>
      <c r="K75" s="39">
        <v>6</v>
      </c>
      <c r="L75" s="39">
        <v>1</v>
      </c>
      <c r="M75" s="27">
        <v>3</v>
      </c>
      <c r="N75" s="28">
        <f>(($M75)-0.018)/4</f>
        <v>0.74550000000000005</v>
      </c>
      <c r="O75" s="28">
        <f t="shared" ref="O75:Q75" si="66">(($M75)-0.018)/4</f>
        <v>0.74550000000000005</v>
      </c>
      <c r="P75" s="28">
        <f t="shared" si="66"/>
        <v>0.74550000000000005</v>
      </c>
      <c r="Q75" s="28">
        <f t="shared" si="66"/>
        <v>0.74550000000000005</v>
      </c>
      <c r="R75" s="28">
        <f>(($N75*4)-0.018)/4</f>
        <v>0.7410000000000001</v>
      </c>
      <c r="S75" s="28">
        <f t="shared" ref="S75:U75" si="67">(($N75*4)-0.018)/4</f>
        <v>0.7410000000000001</v>
      </c>
      <c r="T75" s="28">
        <f t="shared" si="67"/>
        <v>0.7410000000000001</v>
      </c>
      <c r="U75" s="28">
        <f t="shared" si="67"/>
        <v>0.7410000000000001</v>
      </c>
      <c r="V75" s="29" t="s">
        <v>16</v>
      </c>
      <c r="W75" s="33" t="s">
        <v>74</v>
      </c>
    </row>
    <row r="76" spans="1:23" ht="21" customHeight="1" x14ac:dyDescent="0.35">
      <c r="A76" s="1"/>
      <c r="B76" s="30" t="s">
        <v>167</v>
      </c>
      <c r="C76" s="30"/>
      <c r="D76" s="31" t="s">
        <v>179</v>
      </c>
      <c r="E76" s="24" t="s">
        <v>180</v>
      </c>
      <c r="F76" s="40">
        <v>0</v>
      </c>
      <c r="G76" s="40">
        <v>0</v>
      </c>
      <c r="H76" s="40">
        <v>0</v>
      </c>
      <c r="I76" s="40">
        <v>0</v>
      </c>
      <c r="J76" s="40">
        <v>0</v>
      </c>
      <c r="K76" s="39">
        <v>0</v>
      </c>
      <c r="L76" s="39">
        <v>0</v>
      </c>
      <c r="M76" s="27">
        <v>0</v>
      </c>
      <c r="N76" s="28">
        <f>$M76/4</f>
        <v>0</v>
      </c>
      <c r="O76" s="28">
        <f t="shared" ref="O76:Q77" si="68">$M76/4</f>
        <v>0</v>
      </c>
      <c r="P76" s="28">
        <f t="shared" si="68"/>
        <v>0</v>
      </c>
      <c r="Q76" s="28">
        <f t="shared" si="68"/>
        <v>0</v>
      </c>
      <c r="R76" s="28">
        <f>$N76/4</f>
        <v>0</v>
      </c>
      <c r="S76" s="28">
        <f t="shared" ref="S76:U77" si="69">$N76/4</f>
        <v>0</v>
      </c>
      <c r="T76" s="28">
        <f t="shared" si="69"/>
        <v>0</v>
      </c>
      <c r="U76" s="28">
        <f t="shared" si="69"/>
        <v>0</v>
      </c>
      <c r="V76" s="29" t="s">
        <v>16</v>
      </c>
      <c r="W76" s="33"/>
    </row>
    <row r="77" spans="1:23" ht="21" customHeight="1" x14ac:dyDescent="0.35">
      <c r="A77" s="1"/>
      <c r="B77" s="30" t="s">
        <v>167</v>
      </c>
      <c r="C77" s="30"/>
      <c r="D77" s="31" t="s">
        <v>181</v>
      </c>
      <c r="E77" s="24" t="s">
        <v>93</v>
      </c>
      <c r="F77" s="40">
        <v>0</v>
      </c>
      <c r="G77" s="40">
        <v>0</v>
      </c>
      <c r="H77" s="40">
        <v>0</v>
      </c>
      <c r="I77" s="40">
        <v>0</v>
      </c>
      <c r="J77" s="40">
        <v>0</v>
      </c>
      <c r="K77" s="39">
        <v>0</v>
      </c>
      <c r="L77" s="39">
        <v>0</v>
      </c>
      <c r="M77" s="27">
        <v>0</v>
      </c>
      <c r="N77" s="28">
        <f>$M77/4</f>
        <v>0</v>
      </c>
      <c r="O77" s="28">
        <f t="shared" si="68"/>
        <v>0</v>
      </c>
      <c r="P77" s="28">
        <f t="shared" si="68"/>
        <v>0</v>
      </c>
      <c r="Q77" s="28">
        <f t="shared" si="68"/>
        <v>0</v>
      </c>
      <c r="R77" s="28">
        <f>$N77/4</f>
        <v>0</v>
      </c>
      <c r="S77" s="28">
        <f t="shared" si="69"/>
        <v>0</v>
      </c>
      <c r="T77" s="28">
        <f t="shared" si="69"/>
        <v>0</v>
      </c>
      <c r="U77" s="28">
        <f t="shared" si="69"/>
        <v>0</v>
      </c>
      <c r="V77" s="29" t="s">
        <v>16</v>
      </c>
      <c r="W77" s="33"/>
    </row>
    <row r="78" spans="1:23" ht="21" customHeight="1" x14ac:dyDescent="0.35">
      <c r="A78" s="1"/>
      <c r="B78" s="30" t="s">
        <v>167</v>
      </c>
      <c r="C78" s="30"/>
      <c r="D78" s="31" t="s">
        <v>182</v>
      </c>
      <c r="E78" s="24" t="s">
        <v>183</v>
      </c>
      <c r="F78" s="40">
        <v>3</v>
      </c>
      <c r="G78" s="40">
        <v>0</v>
      </c>
      <c r="H78" s="40">
        <v>1</v>
      </c>
      <c r="I78" s="40">
        <v>0</v>
      </c>
      <c r="J78" s="40">
        <v>0</v>
      </c>
      <c r="K78" s="39">
        <v>2</v>
      </c>
      <c r="L78" s="39">
        <v>1</v>
      </c>
      <c r="M78" s="27">
        <v>0.8</v>
      </c>
      <c r="N78" s="28">
        <f>(($M78)-0.005)/4</f>
        <v>0.19875000000000001</v>
      </c>
      <c r="O78" s="28">
        <f t="shared" ref="O78:Q78" si="70">(($M78)-0.005)/4</f>
        <v>0.19875000000000001</v>
      </c>
      <c r="P78" s="28">
        <f t="shared" si="70"/>
        <v>0.19875000000000001</v>
      </c>
      <c r="Q78" s="28">
        <f t="shared" si="70"/>
        <v>0.19875000000000001</v>
      </c>
      <c r="R78" s="28">
        <f>(($N78*4)-0.005)/4</f>
        <v>0.19750000000000001</v>
      </c>
      <c r="S78" s="28">
        <f t="shared" ref="S78:U78" si="71">(($N78*4)-0.005)/4</f>
        <v>0.19750000000000001</v>
      </c>
      <c r="T78" s="28">
        <f t="shared" si="71"/>
        <v>0.19750000000000001</v>
      </c>
      <c r="U78" s="28">
        <f t="shared" si="71"/>
        <v>0.19750000000000001</v>
      </c>
      <c r="V78" s="29" t="s">
        <v>16</v>
      </c>
      <c r="W78" s="33" t="s">
        <v>74</v>
      </c>
    </row>
    <row r="79" spans="1:23" ht="21" customHeight="1" x14ac:dyDescent="0.35">
      <c r="A79" s="1"/>
      <c r="B79" s="30" t="s">
        <v>167</v>
      </c>
      <c r="C79" s="30"/>
      <c r="D79" s="31" t="s">
        <v>184</v>
      </c>
      <c r="E79" s="24" t="s">
        <v>185</v>
      </c>
      <c r="F79" s="40">
        <v>1</v>
      </c>
      <c r="G79" s="40">
        <v>0</v>
      </c>
      <c r="H79" s="40">
        <v>0</v>
      </c>
      <c r="I79" s="40">
        <v>4</v>
      </c>
      <c r="J79" s="40">
        <v>3</v>
      </c>
      <c r="K79" s="39">
        <v>0</v>
      </c>
      <c r="L79" s="39">
        <v>0</v>
      </c>
      <c r="M79" s="27">
        <v>1.4</v>
      </c>
      <c r="N79" s="28">
        <f>(($M79)-0.009)/4</f>
        <v>0.34775</v>
      </c>
      <c r="O79" s="28">
        <f t="shared" ref="O79:Q79" si="72">(($M79)-0.009)/4</f>
        <v>0.34775</v>
      </c>
      <c r="P79" s="28">
        <f t="shared" si="72"/>
        <v>0.34775</v>
      </c>
      <c r="Q79" s="28">
        <f t="shared" si="72"/>
        <v>0.34775</v>
      </c>
      <c r="R79" s="28">
        <f>(($N79*4)-0.009)/4</f>
        <v>0.34550000000000003</v>
      </c>
      <c r="S79" s="28">
        <f t="shared" ref="S79:U79" si="73">(($N79*4)-0.009)/4</f>
        <v>0.34550000000000003</v>
      </c>
      <c r="T79" s="28">
        <f t="shared" si="73"/>
        <v>0.34550000000000003</v>
      </c>
      <c r="U79" s="28">
        <f t="shared" si="73"/>
        <v>0.34550000000000003</v>
      </c>
      <c r="V79" s="29" t="s">
        <v>16</v>
      </c>
      <c r="W79" s="33" t="s">
        <v>74</v>
      </c>
    </row>
    <row r="80" spans="1:23" ht="21" customHeight="1" x14ac:dyDescent="0.35">
      <c r="A80" s="1"/>
      <c r="B80" s="30" t="s">
        <v>167</v>
      </c>
      <c r="C80" s="30"/>
      <c r="D80" s="31" t="s">
        <v>186</v>
      </c>
      <c r="E80" s="24" t="s">
        <v>187</v>
      </c>
      <c r="F80" s="40">
        <v>29</v>
      </c>
      <c r="G80" s="40">
        <v>13</v>
      </c>
      <c r="H80" s="40">
        <v>6</v>
      </c>
      <c r="I80" s="40">
        <v>3</v>
      </c>
      <c r="J80" s="40">
        <v>8</v>
      </c>
      <c r="K80" s="39">
        <v>0</v>
      </c>
      <c r="L80" s="39">
        <v>22</v>
      </c>
      <c r="M80" s="27">
        <v>7.8</v>
      </c>
      <c r="N80" s="28">
        <f>($M80)/4</f>
        <v>1.95</v>
      </c>
      <c r="O80" s="28">
        <f t="shared" ref="O80:Q80" si="74">($M80)/4</f>
        <v>1.95</v>
      </c>
      <c r="P80" s="28">
        <f t="shared" si="74"/>
        <v>1.95</v>
      </c>
      <c r="Q80" s="28">
        <f t="shared" si="74"/>
        <v>1.95</v>
      </c>
      <c r="R80" s="28">
        <f>($N80*4)/4</f>
        <v>1.95</v>
      </c>
      <c r="S80" s="28">
        <f t="shared" ref="S80:U80" si="75">($N80*4)/4</f>
        <v>1.95</v>
      </c>
      <c r="T80" s="28">
        <f t="shared" si="75"/>
        <v>1.95</v>
      </c>
      <c r="U80" s="28">
        <f t="shared" si="75"/>
        <v>1.95</v>
      </c>
      <c r="V80" s="29" t="s">
        <v>16</v>
      </c>
      <c r="W80" s="37" t="s">
        <v>60</v>
      </c>
    </row>
    <row r="81" spans="1:23" ht="21" customHeight="1" x14ac:dyDescent="0.35">
      <c r="A81" s="1"/>
      <c r="B81" s="30" t="s">
        <v>167</v>
      </c>
      <c r="C81" s="30"/>
      <c r="D81" s="31" t="s">
        <v>188</v>
      </c>
      <c r="E81" s="24" t="s">
        <v>89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39">
        <v>0</v>
      </c>
      <c r="L81" s="39">
        <v>0</v>
      </c>
      <c r="M81" s="27">
        <v>0</v>
      </c>
      <c r="N81" s="28">
        <f>$M81/4</f>
        <v>0</v>
      </c>
      <c r="O81" s="28">
        <f t="shared" ref="O81:Q83" si="76">$M81/4</f>
        <v>0</v>
      </c>
      <c r="P81" s="28">
        <f t="shared" si="76"/>
        <v>0</v>
      </c>
      <c r="Q81" s="28">
        <f t="shared" si="76"/>
        <v>0</v>
      </c>
      <c r="R81" s="28">
        <f>$N81/4</f>
        <v>0</v>
      </c>
      <c r="S81" s="28">
        <f t="shared" ref="S81:U83" si="77">$N81/4</f>
        <v>0</v>
      </c>
      <c r="T81" s="28">
        <f t="shared" si="77"/>
        <v>0</v>
      </c>
      <c r="U81" s="28">
        <f t="shared" si="77"/>
        <v>0</v>
      </c>
      <c r="V81" s="29" t="s">
        <v>16</v>
      </c>
      <c r="W81" s="33" t="s">
        <v>74</v>
      </c>
    </row>
    <row r="82" spans="1:23" ht="21" customHeight="1" x14ac:dyDescent="0.35">
      <c r="A82" s="1"/>
      <c r="B82" s="30" t="s">
        <v>167</v>
      </c>
      <c r="C82" s="30"/>
      <c r="D82" s="23" t="s">
        <v>189</v>
      </c>
      <c r="E82" s="24" t="s">
        <v>190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39">
        <v>0</v>
      </c>
      <c r="L82" s="39">
        <v>0</v>
      </c>
      <c r="M82" s="27">
        <v>0</v>
      </c>
      <c r="N82" s="28">
        <f>$M82/4</f>
        <v>0</v>
      </c>
      <c r="O82" s="28">
        <f t="shared" si="76"/>
        <v>0</v>
      </c>
      <c r="P82" s="28">
        <f t="shared" si="76"/>
        <v>0</v>
      </c>
      <c r="Q82" s="28">
        <f t="shared" si="76"/>
        <v>0</v>
      </c>
      <c r="R82" s="28">
        <f>$N82/4</f>
        <v>0</v>
      </c>
      <c r="S82" s="28">
        <f t="shared" si="77"/>
        <v>0</v>
      </c>
      <c r="T82" s="28">
        <f t="shared" si="77"/>
        <v>0</v>
      </c>
      <c r="U82" s="28">
        <f t="shared" si="77"/>
        <v>0</v>
      </c>
      <c r="V82" s="29" t="s">
        <v>16</v>
      </c>
      <c r="W82" s="33"/>
    </row>
    <row r="83" spans="1:23" ht="21" customHeight="1" x14ac:dyDescent="0.35">
      <c r="A83" s="1"/>
      <c r="B83" s="30" t="s">
        <v>167</v>
      </c>
      <c r="C83" s="30"/>
      <c r="D83" s="31" t="s">
        <v>191</v>
      </c>
      <c r="E83" s="24" t="s">
        <v>192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39">
        <v>0</v>
      </c>
      <c r="L83" s="39">
        <v>0</v>
      </c>
      <c r="M83" s="27">
        <v>0</v>
      </c>
      <c r="N83" s="28">
        <f>$M83/4</f>
        <v>0</v>
      </c>
      <c r="O83" s="28">
        <f t="shared" si="76"/>
        <v>0</v>
      </c>
      <c r="P83" s="28">
        <f t="shared" si="76"/>
        <v>0</v>
      </c>
      <c r="Q83" s="28">
        <f t="shared" si="76"/>
        <v>0</v>
      </c>
      <c r="R83" s="28">
        <f>$N83/4</f>
        <v>0</v>
      </c>
      <c r="S83" s="28">
        <f t="shared" si="77"/>
        <v>0</v>
      </c>
      <c r="T83" s="28">
        <f t="shared" si="77"/>
        <v>0</v>
      </c>
      <c r="U83" s="28">
        <f t="shared" si="77"/>
        <v>0</v>
      </c>
      <c r="V83" s="29" t="s">
        <v>16</v>
      </c>
      <c r="W83" s="33"/>
    </row>
    <row r="84" spans="1:23" ht="21" customHeight="1" x14ac:dyDescent="0.35">
      <c r="A84" s="1"/>
      <c r="B84" s="30" t="s">
        <v>167</v>
      </c>
      <c r="C84" s="30"/>
      <c r="D84" s="31" t="s">
        <v>193</v>
      </c>
      <c r="E84" s="24" t="s">
        <v>194</v>
      </c>
      <c r="F84" s="40">
        <v>0</v>
      </c>
      <c r="G84" s="40">
        <v>0</v>
      </c>
      <c r="H84" s="40">
        <v>1</v>
      </c>
      <c r="I84" s="40">
        <v>0</v>
      </c>
      <c r="J84" s="40">
        <v>0</v>
      </c>
      <c r="K84" s="39">
        <v>0</v>
      </c>
      <c r="L84" s="39">
        <v>0</v>
      </c>
      <c r="M84" s="27">
        <v>0.2</v>
      </c>
      <c r="N84" s="28">
        <f>(($M84)-0.001)/4</f>
        <v>4.9750000000000003E-2</v>
      </c>
      <c r="O84" s="28">
        <f t="shared" ref="O84:Q84" si="78">(($M84)-0.001)/4</f>
        <v>4.9750000000000003E-2</v>
      </c>
      <c r="P84" s="28">
        <f t="shared" si="78"/>
        <v>4.9750000000000003E-2</v>
      </c>
      <c r="Q84" s="28">
        <f t="shared" si="78"/>
        <v>4.9750000000000003E-2</v>
      </c>
      <c r="R84" s="28">
        <f>(($N84*4)-0.001)/4</f>
        <v>4.9500000000000002E-2</v>
      </c>
      <c r="S84" s="28">
        <f t="shared" ref="S84:U84" si="79">(($N84*4)-0.001)/4</f>
        <v>4.9500000000000002E-2</v>
      </c>
      <c r="T84" s="28">
        <f t="shared" si="79"/>
        <v>4.9500000000000002E-2</v>
      </c>
      <c r="U84" s="28">
        <f t="shared" si="79"/>
        <v>4.9500000000000002E-2</v>
      </c>
      <c r="V84" s="29" t="s">
        <v>16</v>
      </c>
      <c r="W84" s="33" t="s">
        <v>74</v>
      </c>
    </row>
    <row r="85" spans="1:23" ht="21" customHeight="1" x14ac:dyDescent="0.35">
      <c r="A85" s="1"/>
      <c r="B85" s="30" t="s">
        <v>167</v>
      </c>
      <c r="C85" s="30"/>
      <c r="D85" s="31" t="s">
        <v>195</v>
      </c>
      <c r="E85" s="24" t="s">
        <v>196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39">
        <v>0</v>
      </c>
      <c r="L85" s="39">
        <v>0</v>
      </c>
      <c r="M85" s="27">
        <v>0</v>
      </c>
      <c r="N85" s="28">
        <f>$M85/4</f>
        <v>0</v>
      </c>
      <c r="O85" s="28">
        <f t="shared" ref="O85:Q85" si="80">$M85/4</f>
        <v>0</v>
      </c>
      <c r="P85" s="28">
        <f t="shared" si="80"/>
        <v>0</v>
      </c>
      <c r="Q85" s="28">
        <f t="shared" si="80"/>
        <v>0</v>
      </c>
      <c r="R85" s="28">
        <f>$N85/4</f>
        <v>0</v>
      </c>
      <c r="S85" s="28">
        <f t="shared" ref="S85:U85" si="81">$N85/4</f>
        <v>0</v>
      </c>
      <c r="T85" s="28">
        <f t="shared" si="81"/>
        <v>0</v>
      </c>
      <c r="U85" s="28">
        <f t="shared" si="81"/>
        <v>0</v>
      </c>
      <c r="V85" s="29" t="s">
        <v>16</v>
      </c>
      <c r="W85" s="33"/>
    </row>
    <row r="86" spans="1:23" ht="21" customHeight="1" x14ac:dyDescent="0.35">
      <c r="A86" s="1"/>
      <c r="B86" s="30" t="s">
        <v>167</v>
      </c>
      <c r="C86" s="30"/>
      <c r="D86" s="31" t="s">
        <v>197</v>
      </c>
      <c r="E86" s="24" t="s">
        <v>198</v>
      </c>
      <c r="F86" s="40">
        <v>0</v>
      </c>
      <c r="G86" s="40">
        <v>0</v>
      </c>
      <c r="H86" s="40">
        <v>0</v>
      </c>
      <c r="I86" s="40">
        <v>1</v>
      </c>
      <c r="J86" s="40">
        <v>1</v>
      </c>
      <c r="K86" s="39">
        <v>0</v>
      </c>
      <c r="L86" s="39">
        <v>0</v>
      </c>
      <c r="M86" s="27">
        <v>0.4</v>
      </c>
      <c r="N86" s="28">
        <f>(($M86)-0.002)/4</f>
        <v>9.9500000000000005E-2</v>
      </c>
      <c r="O86" s="28">
        <f t="shared" ref="O86:Q86" si="82">(($M86)-0.002)/4</f>
        <v>9.9500000000000005E-2</v>
      </c>
      <c r="P86" s="28">
        <f t="shared" si="82"/>
        <v>9.9500000000000005E-2</v>
      </c>
      <c r="Q86" s="28">
        <f t="shared" si="82"/>
        <v>9.9500000000000005E-2</v>
      </c>
      <c r="R86" s="28">
        <f>(($N86*4)-0.002)/4</f>
        <v>9.9000000000000005E-2</v>
      </c>
      <c r="S86" s="28">
        <f t="shared" ref="S86:U86" si="83">(($N86*4)-0.002)/4</f>
        <v>9.9000000000000005E-2</v>
      </c>
      <c r="T86" s="28">
        <f t="shared" si="83"/>
        <v>9.9000000000000005E-2</v>
      </c>
      <c r="U86" s="28">
        <f t="shared" si="83"/>
        <v>9.9000000000000005E-2</v>
      </c>
      <c r="V86" s="29" t="s">
        <v>16</v>
      </c>
      <c r="W86" s="33" t="s">
        <v>74</v>
      </c>
    </row>
    <row r="87" spans="1:23" ht="21" customHeight="1" x14ac:dyDescent="0.35">
      <c r="A87" s="1"/>
      <c r="B87" s="30" t="s">
        <v>167</v>
      </c>
      <c r="C87" s="30"/>
      <c r="D87" s="31" t="s">
        <v>199</v>
      </c>
      <c r="E87" s="24" t="s">
        <v>200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39">
        <v>0</v>
      </c>
      <c r="L87" s="39">
        <v>0</v>
      </c>
      <c r="M87" s="27">
        <v>0</v>
      </c>
      <c r="N87" s="28">
        <f>$M87/4</f>
        <v>0</v>
      </c>
      <c r="O87" s="28">
        <f t="shared" ref="O87:Q87" si="84">$M87/4</f>
        <v>0</v>
      </c>
      <c r="P87" s="28">
        <f t="shared" si="84"/>
        <v>0</v>
      </c>
      <c r="Q87" s="28">
        <f t="shared" si="84"/>
        <v>0</v>
      </c>
      <c r="R87" s="28">
        <f>$N87/4</f>
        <v>0</v>
      </c>
      <c r="S87" s="28">
        <f t="shared" ref="S87:U87" si="85">$N87/4</f>
        <v>0</v>
      </c>
      <c r="T87" s="28">
        <f t="shared" si="85"/>
        <v>0</v>
      </c>
      <c r="U87" s="28">
        <f t="shared" si="85"/>
        <v>0</v>
      </c>
      <c r="V87" s="29" t="s">
        <v>16</v>
      </c>
      <c r="W87" s="33"/>
    </row>
    <row r="88" spans="1:23" ht="21" customHeight="1" x14ac:dyDescent="0.35">
      <c r="A88" s="1"/>
      <c r="B88" s="30" t="s">
        <v>167</v>
      </c>
      <c r="C88" s="30"/>
      <c r="D88" s="31" t="s">
        <v>201</v>
      </c>
      <c r="E88" s="24" t="s">
        <v>99</v>
      </c>
      <c r="F88" s="40">
        <v>1</v>
      </c>
      <c r="G88" s="40">
        <v>0</v>
      </c>
      <c r="H88" s="40">
        <v>0</v>
      </c>
      <c r="I88" s="40">
        <v>0</v>
      </c>
      <c r="J88" s="40">
        <v>0</v>
      </c>
      <c r="K88" s="39">
        <v>2</v>
      </c>
      <c r="L88" s="39">
        <v>0</v>
      </c>
      <c r="M88" s="27">
        <v>0.4</v>
      </c>
      <c r="N88" s="28">
        <f>($M88)/4</f>
        <v>0.1</v>
      </c>
      <c r="O88" s="28">
        <f t="shared" ref="O88:Q88" si="86">($M88)/4</f>
        <v>0.1</v>
      </c>
      <c r="P88" s="28">
        <f t="shared" si="86"/>
        <v>0.1</v>
      </c>
      <c r="Q88" s="28">
        <f t="shared" si="86"/>
        <v>0.1</v>
      </c>
      <c r="R88" s="28">
        <f>($N88*4)/4</f>
        <v>0.1</v>
      </c>
      <c r="S88" s="28">
        <f t="shared" ref="S88:U88" si="87">($N88*4)/4</f>
        <v>0.1</v>
      </c>
      <c r="T88" s="28">
        <f t="shared" si="87"/>
        <v>0.1</v>
      </c>
      <c r="U88" s="28">
        <f t="shared" si="87"/>
        <v>0.1</v>
      </c>
      <c r="V88" s="29" t="s">
        <v>16</v>
      </c>
      <c r="W88" s="37" t="s">
        <v>60</v>
      </c>
    </row>
    <row r="89" spans="1:23" ht="21" customHeight="1" x14ac:dyDescent="0.35">
      <c r="A89" s="1"/>
      <c r="B89" s="30" t="s">
        <v>167</v>
      </c>
      <c r="C89" s="30" t="s">
        <v>202</v>
      </c>
      <c r="D89" s="31" t="s">
        <v>203</v>
      </c>
      <c r="E89" s="24" t="s">
        <v>102</v>
      </c>
      <c r="F89" s="40">
        <v>1</v>
      </c>
      <c r="G89" s="40">
        <v>0</v>
      </c>
      <c r="H89" s="40">
        <v>0</v>
      </c>
      <c r="I89" s="40">
        <v>0</v>
      </c>
      <c r="J89" s="40">
        <v>0</v>
      </c>
      <c r="K89" s="39">
        <v>0</v>
      </c>
      <c r="L89" s="39">
        <v>0</v>
      </c>
      <c r="M89" s="27">
        <v>0</v>
      </c>
      <c r="N89" s="28">
        <f>$M89/4</f>
        <v>0</v>
      </c>
      <c r="O89" s="28">
        <f t="shared" ref="O89:Q89" si="88">$M89/4</f>
        <v>0</v>
      </c>
      <c r="P89" s="28">
        <f t="shared" si="88"/>
        <v>0</v>
      </c>
      <c r="Q89" s="28">
        <f t="shared" si="88"/>
        <v>0</v>
      </c>
      <c r="R89" s="28">
        <f>$N89/4</f>
        <v>0</v>
      </c>
      <c r="S89" s="28">
        <f t="shared" ref="S89:U89" si="89">$N89/4</f>
        <v>0</v>
      </c>
      <c r="T89" s="28">
        <f t="shared" si="89"/>
        <v>0</v>
      </c>
      <c r="U89" s="28">
        <f t="shared" si="89"/>
        <v>0</v>
      </c>
      <c r="V89" s="29" t="s">
        <v>16</v>
      </c>
      <c r="W89" s="33" t="s">
        <v>74</v>
      </c>
    </row>
    <row r="90" spans="1:23" ht="21" customHeight="1" x14ac:dyDescent="0.35">
      <c r="A90" s="1"/>
      <c r="B90" s="30" t="s">
        <v>167</v>
      </c>
      <c r="C90" s="30" t="s">
        <v>204</v>
      </c>
      <c r="D90" s="31" t="s">
        <v>205</v>
      </c>
      <c r="E90" s="34" t="s">
        <v>105</v>
      </c>
      <c r="F90" s="40">
        <v>3</v>
      </c>
      <c r="G90" s="40">
        <v>8</v>
      </c>
      <c r="H90" s="40">
        <v>0</v>
      </c>
      <c r="I90" s="40">
        <v>3</v>
      </c>
      <c r="J90" s="40">
        <v>1</v>
      </c>
      <c r="K90" s="39">
        <v>1</v>
      </c>
      <c r="L90" s="39">
        <v>1</v>
      </c>
      <c r="M90" s="27">
        <v>1.2</v>
      </c>
      <c r="N90" s="28">
        <f>(($M90)-0.017)/4</f>
        <v>0.29575000000000001</v>
      </c>
      <c r="O90" s="28">
        <f t="shared" ref="O90:Q90" si="90">(($M90)-0.017)/4</f>
        <v>0.29575000000000001</v>
      </c>
      <c r="P90" s="28">
        <f t="shared" si="90"/>
        <v>0.29575000000000001</v>
      </c>
      <c r="Q90" s="28">
        <f t="shared" si="90"/>
        <v>0.29575000000000001</v>
      </c>
      <c r="R90" s="28">
        <f>(($N90*4)-0.017)/4</f>
        <v>0.29150000000000004</v>
      </c>
      <c r="S90" s="28">
        <f t="shared" ref="S90:U90" si="91">(($N90*4)-0.017)/4</f>
        <v>0.29150000000000004</v>
      </c>
      <c r="T90" s="28">
        <f t="shared" si="91"/>
        <v>0.29150000000000004</v>
      </c>
      <c r="U90" s="28">
        <f t="shared" si="91"/>
        <v>0.29150000000000004</v>
      </c>
      <c r="V90" s="29" t="s">
        <v>16</v>
      </c>
      <c r="W90" s="33" t="s">
        <v>74</v>
      </c>
    </row>
    <row r="91" spans="1:23" ht="21" customHeight="1" x14ac:dyDescent="0.35">
      <c r="A91" s="1"/>
      <c r="B91" s="30" t="s">
        <v>167</v>
      </c>
      <c r="C91" s="30" t="s">
        <v>206</v>
      </c>
      <c r="D91" s="31" t="s">
        <v>207</v>
      </c>
      <c r="E91" s="24" t="s">
        <v>59</v>
      </c>
      <c r="F91" s="40">
        <v>0</v>
      </c>
      <c r="G91" s="40">
        <v>0</v>
      </c>
      <c r="H91" s="40">
        <v>2</v>
      </c>
      <c r="I91" s="40">
        <v>0</v>
      </c>
      <c r="J91" s="40">
        <v>0</v>
      </c>
      <c r="K91" s="39">
        <v>2</v>
      </c>
      <c r="L91" s="39">
        <v>1</v>
      </c>
      <c r="M91" s="27">
        <v>1</v>
      </c>
      <c r="N91" s="28">
        <f>$M91/4</f>
        <v>0.25</v>
      </c>
      <c r="O91" s="28">
        <f t="shared" ref="O91:Q93" si="92">$M91/4</f>
        <v>0.25</v>
      </c>
      <c r="P91" s="28">
        <f t="shared" si="92"/>
        <v>0.25</v>
      </c>
      <c r="Q91" s="28">
        <f t="shared" si="92"/>
        <v>0.25</v>
      </c>
      <c r="R91" s="28">
        <f>$N91/4</f>
        <v>6.25E-2</v>
      </c>
      <c r="S91" s="28">
        <f t="shared" ref="S91:U93" si="93">$N91/4</f>
        <v>6.25E-2</v>
      </c>
      <c r="T91" s="28">
        <f t="shared" si="93"/>
        <v>6.25E-2</v>
      </c>
      <c r="U91" s="28">
        <f t="shared" si="93"/>
        <v>6.25E-2</v>
      </c>
      <c r="V91" s="29" t="s">
        <v>16</v>
      </c>
      <c r="W91" s="37" t="s">
        <v>60</v>
      </c>
    </row>
    <row r="92" spans="1:23" ht="21" customHeight="1" x14ac:dyDescent="0.35">
      <c r="A92" s="1"/>
      <c r="B92" s="30" t="s">
        <v>167</v>
      </c>
      <c r="C92" s="30" t="s">
        <v>208</v>
      </c>
      <c r="D92" s="31" t="s">
        <v>209</v>
      </c>
      <c r="E92" s="24" t="s">
        <v>110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39">
        <v>0</v>
      </c>
      <c r="L92" s="39">
        <v>0</v>
      </c>
      <c r="M92" s="27">
        <v>0</v>
      </c>
      <c r="N92" s="28">
        <f>$M92/4</f>
        <v>0</v>
      </c>
      <c r="O92" s="28">
        <f t="shared" si="92"/>
        <v>0</v>
      </c>
      <c r="P92" s="28">
        <f t="shared" si="92"/>
        <v>0</v>
      </c>
      <c r="Q92" s="28">
        <f t="shared" si="92"/>
        <v>0</v>
      </c>
      <c r="R92" s="28">
        <f>$N92/4</f>
        <v>0</v>
      </c>
      <c r="S92" s="28">
        <f t="shared" si="93"/>
        <v>0</v>
      </c>
      <c r="T92" s="28">
        <f t="shared" si="93"/>
        <v>0</v>
      </c>
      <c r="U92" s="28">
        <f t="shared" si="93"/>
        <v>0</v>
      </c>
      <c r="V92" s="29" t="s">
        <v>16</v>
      </c>
      <c r="W92" s="33"/>
    </row>
    <row r="93" spans="1:23" ht="21" customHeight="1" x14ac:dyDescent="0.35">
      <c r="A93" s="1"/>
      <c r="B93" s="30" t="s">
        <v>167</v>
      </c>
      <c r="C93" s="30" t="s">
        <v>210</v>
      </c>
      <c r="D93" s="31" t="s">
        <v>211</v>
      </c>
      <c r="E93" s="24" t="s">
        <v>113</v>
      </c>
      <c r="F93" s="40">
        <v>1</v>
      </c>
      <c r="G93" s="40">
        <v>0</v>
      </c>
      <c r="H93" s="40">
        <v>0</v>
      </c>
      <c r="I93" s="40">
        <v>0</v>
      </c>
      <c r="J93" s="40">
        <v>0</v>
      </c>
      <c r="K93" s="39">
        <v>0</v>
      </c>
      <c r="L93" s="39">
        <v>4</v>
      </c>
      <c r="M93" s="27">
        <v>0.8</v>
      </c>
      <c r="N93" s="28">
        <f>$M93/4</f>
        <v>0.2</v>
      </c>
      <c r="O93" s="28">
        <f t="shared" si="92"/>
        <v>0.2</v>
      </c>
      <c r="P93" s="28">
        <f t="shared" si="92"/>
        <v>0.2</v>
      </c>
      <c r="Q93" s="28">
        <f t="shared" si="92"/>
        <v>0.2</v>
      </c>
      <c r="R93" s="28">
        <f>$N93/4</f>
        <v>0.05</v>
      </c>
      <c r="S93" s="28">
        <f t="shared" si="93"/>
        <v>0.05</v>
      </c>
      <c r="T93" s="28">
        <f t="shared" si="93"/>
        <v>0.05</v>
      </c>
      <c r="U93" s="28">
        <f t="shared" si="93"/>
        <v>0.05</v>
      </c>
      <c r="V93" s="29" t="s">
        <v>16</v>
      </c>
      <c r="W93" s="33" t="s">
        <v>74</v>
      </c>
    </row>
    <row r="94" spans="1:23" ht="21" customHeight="1" x14ac:dyDescent="0.35">
      <c r="A94" s="1"/>
      <c r="B94" s="30" t="s">
        <v>167</v>
      </c>
      <c r="C94" s="30" t="s">
        <v>212</v>
      </c>
      <c r="D94" s="31" t="s">
        <v>213</v>
      </c>
      <c r="E94" s="24" t="s">
        <v>116</v>
      </c>
      <c r="F94" s="40">
        <v>10</v>
      </c>
      <c r="G94" s="40">
        <v>10</v>
      </c>
      <c r="H94" s="40">
        <v>8</v>
      </c>
      <c r="I94" s="40">
        <v>10</v>
      </c>
      <c r="J94" s="40">
        <v>4</v>
      </c>
      <c r="K94" s="39">
        <v>6</v>
      </c>
      <c r="L94" s="39">
        <v>6</v>
      </c>
      <c r="M94" s="27">
        <v>6.8</v>
      </c>
      <c r="N94" s="28">
        <f>(($M94)-0.056)/4</f>
        <v>1.6859999999999999</v>
      </c>
      <c r="O94" s="28">
        <f t="shared" ref="O94:Q94" si="94">(($M94)-0.056)/4</f>
        <v>1.6859999999999999</v>
      </c>
      <c r="P94" s="28">
        <f t="shared" si="94"/>
        <v>1.6859999999999999</v>
      </c>
      <c r="Q94" s="28">
        <f t="shared" si="94"/>
        <v>1.6859999999999999</v>
      </c>
      <c r="R94" s="28">
        <f>(($N94*4)-0.056)/4</f>
        <v>1.6719999999999999</v>
      </c>
      <c r="S94" s="28">
        <f t="shared" ref="S94:U94" si="95">(($N94*4)-0.056)/4</f>
        <v>1.6719999999999999</v>
      </c>
      <c r="T94" s="28">
        <f t="shared" si="95"/>
        <v>1.6719999999999999</v>
      </c>
      <c r="U94" s="28">
        <f t="shared" si="95"/>
        <v>1.6719999999999999</v>
      </c>
      <c r="V94" s="29" t="s">
        <v>16</v>
      </c>
      <c r="W94" s="33" t="s">
        <v>74</v>
      </c>
    </row>
  </sheetData>
  <dataValidations count="1">
    <dataValidation type="custom" operator="greaterThanOrEqual" allowBlank="1" showInputMessage="1" showErrorMessage="1" error="This cell only accepts a number of &quot;NA&quot;_x000a_" sqref="F69:J94" xr:uid="{72BF7456-A1BD-47AF-9944-3231C9D949FC}">
      <formula1>OR(AND(ISNUMBER(F69), F69&gt;=0), F69 ="NA")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Forecasting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Parikh, Minal K (Contractor)</dc:creator>
  <cp:keywords/>
  <dc:description/>
  <cp:lastModifiedBy>Strutner, Maddy</cp:lastModifiedBy>
  <cp:revision/>
  <dcterms:created xsi:type="dcterms:W3CDTF">2022-03-22T17:47:18Z</dcterms:created>
  <dcterms:modified xsi:type="dcterms:W3CDTF">2022-03-23T22:24:38Z</dcterms:modified>
  <cp:category/>
  <cp:contentStatus/>
</cp:coreProperties>
</file>